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55" firstSheet="10" activeTab="17"/>
  </bookViews>
  <sheets>
    <sheet name="Oct 05   " sheetId="1" state="hidden" r:id="rId1"/>
    <sheet name="Aug 05  " sheetId="2" r:id="rId2"/>
    <sheet name="Sep 05   " sheetId="3" r:id="rId3"/>
    <sheet name="Nov 05   " sheetId="4" r:id="rId4"/>
    <sheet name="Dec 05  " sheetId="5" r:id="rId5"/>
    <sheet name="Jan 06" sheetId="6" r:id="rId6"/>
    <sheet name="Feb 06 " sheetId="7" r:id="rId7"/>
    <sheet name="Mar 06 " sheetId="8" r:id="rId8"/>
    <sheet name="Apr 06  " sheetId="9" r:id="rId9"/>
    <sheet name="May 06  " sheetId="10" r:id="rId10"/>
    <sheet name="Jun 06 " sheetId="11" r:id="rId11"/>
    <sheet name="Jul 06  " sheetId="12" r:id="rId12"/>
    <sheet name="Aug 06 " sheetId="13" r:id="rId13"/>
    <sheet name="Sep 06 " sheetId="14" r:id="rId14"/>
    <sheet name="Oct 06  " sheetId="15" r:id="rId15"/>
    <sheet name="Nov 06  " sheetId="16" r:id="rId16"/>
    <sheet name="Dec 06   " sheetId="17" r:id="rId17"/>
    <sheet name="Jan 07" sheetId="18" r:id="rId18"/>
  </sheets>
  <definedNames>
    <definedName name="_xlnm.Print_Area" localSheetId="8">'Apr 06  '!$A$1:$K$52</definedName>
    <definedName name="_xlnm.Print_Area" localSheetId="1">'Aug 05  '!$A$1:$K$51</definedName>
    <definedName name="_xlnm.Print_Area" localSheetId="12">'Aug 06 '!$A$1:$K$52</definedName>
    <definedName name="_xlnm.Print_Area" localSheetId="4">'Dec 05  '!$A$1:$K$51</definedName>
    <definedName name="_xlnm.Print_Area" localSheetId="16">'Dec 06   '!$A$1:$K$54</definedName>
    <definedName name="_xlnm.Print_Area" localSheetId="6">'Feb 06 '!$A$1:$K$51</definedName>
    <definedName name="_xlnm.Print_Area" localSheetId="5">'Jan 06'!$A$1:$K$51</definedName>
    <definedName name="_xlnm.Print_Area" localSheetId="17">'Jan 07'!$A$1:$K$54</definedName>
    <definedName name="_xlnm.Print_Area" localSheetId="11">'Jul 06  '!$A$1:$K$51</definedName>
    <definedName name="_xlnm.Print_Area" localSheetId="10">'Jun 06 '!$A$1:$K$51</definedName>
    <definedName name="_xlnm.Print_Area" localSheetId="7">'Mar 06 '!$A$1:$K$52</definedName>
    <definedName name="_xlnm.Print_Area" localSheetId="9">'May 06  '!$A$1:$K$51</definedName>
    <definedName name="_xlnm.Print_Area" localSheetId="3">'Nov 05   '!$A$1:$K$51</definedName>
    <definedName name="_xlnm.Print_Area" localSheetId="15">'Nov 06  '!$A$1:$K$53</definedName>
    <definedName name="_xlnm.Print_Area" localSheetId="0">'Oct 05   '!$A$1:$K$51</definedName>
    <definedName name="_xlnm.Print_Area" localSheetId="14">'Oct 06  '!$A$1:$K$53</definedName>
    <definedName name="_xlnm.Print_Area" localSheetId="2">'Sep 05   '!$A$1:$K$51</definedName>
    <definedName name="_xlnm.Print_Area" localSheetId="13">'Sep 06 '!$A$1:$K$52</definedName>
  </definedNames>
  <calcPr fullCalcOnLoad="1"/>
</workbook>
</file>

<file path=xl/comments18.xml><?xml version="1.0" encoding="utf-8"?>
<comments xmlns="http://schemas.openxmlformats.org/spreadsheetml/2006/main">
  <authors>
    <author>thomas.brazzel</author>
  </authors>
  <commentList>
    <comment ref="P33" authorId="0">
      <text>
        <r>
          <rPr>
            <b/>
            <sz val="8"/>
            <rFont val="Tahoma"/>
            <family val="0"/>
          </rPr>
          <t>thomas.brazzel:</t>
        </r>
        <r>
          <rPr>
            <sz val="8"/>
            <rFont val="Tahoma"/>
            <family val="0"/>
          </rPr>
          <t xml:space="preserve">
Diff due to int accrual estimate in Dec 06. Will correct in Feb 07</t>
        </r>
      </text>
    </comment>
  </commentList>
</comments>
</file>

<file path=xl/sharedStrings.xml><?xml version="1.0" encoding="utf-8"?>
<sst xmlns="http://schemas.openxmlformats.org/spreadsheetml/2006/main" count="1821" uniqueCount="109">
  <si>
    <t>Book Value</t>
  </si>
  <si>
    <t xml:space="preserve"> </t>
  </si>
  <si>
    <t>Funds</t>
  </si>
  <si>
    <t>Subtotal:</t>
  </si>
  <si>
    <t>Wells Fargo Bank - Schulenburg</t>
  </si>
  <si>
    <t>Wells Fargo, Bryan-Operating</t>
  </si>
  <si>
    <t>Wells Fargo, Bryan-Aux</t>
  </si>
  <si>
    <t>Operating</t>
  </si>
  <si>
    <t>Investable</t>
  </si>
  <si>
    <t>Operating Funds Cash/Cash Equivalents</t>
  </si>
  <si>
    <t>Receipts</t>
  </si>
  <si>
    <t>Distributions</t>
  </si>
  <si>
    <t>Subtotal Cash in Bank</t>
  </si>
  <si>
    <t>Subtotal Cash in Pools</t>
  </si>
  <si>
    <t>Market Value</t>
  </si>
  <si>
    <t>Investments</t>
  </si>
  <si>
    <t>Total Cash, Cash Equivalents and Investments</t>
  </si>
  <si>
    <t>Wells Fargo, Bryan-Web</t>
  </si>
  <si>
    <t>Interest</t>
  </si>
  <si>
    <t>Rate</t>
  </si>
  <si>
    <t>Lone Star/General Acct. - Unrestricted</t>
  </si>
  <si>
    <t>Lone Star/Bond Reserve Acct. - Bond Reserve</t>
  </si>
  <si>
    <t xml:space="preserve">BNB-Savings Acct. </t>
  </si>
  <si>
    <t>BNB-Accts Payable Acct.</t>
  </si>
  <si>
    <t>BNB-Student Loan Acct.</t>
  </si>
  <si>
    <t>BNB-Payroll Acct.</t>
  </si>
  <si>
    <t>Signed:</t>
  </si>
  <si>
    <t>This schedule is in compliance with the Public Funds Investment Act and the Investment Policy of Blinn College</t>
  </si>
  <si>
    <t>President</t>
  </si>
  <si>
    <t>Vice President</t>
  </si>
  <si>
    <t>182 day T-Bill</t>
  </si>
  <si>
    <t>Benchmark Rate</t>
  </si>
  <si>
    <t>TexPool - Endowments</t>
  </si>
  <si>
    <t>TexPool - Unrestricted</t>
  </si>
  <si>
    <t>TexPool - Capital Projects</t>
  </si>
  <si>
    <t>40-0000-1001</t>
  </si>
  <si>
    <t>40-0000-0065</t>
  </si>
  <si>
    <t>40-0000-0069</t>
  </si>
  <si>
    <t>40-0000-0107</t>
  </si>
  <si>
    <t>40-0000-0108</t>
  </si>
  <si>
    <t>60-0000-2015</t>
  </si>
  <si>
    <t>40-0000-0111</t>
  </si>
  <si>
    <t>BNB-Workers' Comp Acct.</t>
  </si>
  <si>
    <t>FHLB - 3133X4PD7 (Due 9/23/09)</t>
  </si>
  <si>
    <t>FHLB - 3133X5LJ5 (Due 10/19/09)</t>
  </si>
  <si>
    <t>FHLB - 3133X6B47 (Due 10/30/07)</t>
  </si>
  <si>
    <t>40-0000-0112</t>
  </si>
  <si>
    <t>40-0000-0113</t>
  </si>
  <si>
    <t>FHLB - 3133X6ET9 (Due 11/07/07)</t>
  </si>
  <si>
    <t>FHLB - 3133X6LC8 (Due 02/14/08)</t>
  </si>
  <si>
    <t>FHLB - 3133X8MY5 (Due 09/28/07)</t>
  </si>
  <si>
    <t>40-0000-0114</t>
  </si>
  <si>
    <t>Dain Rauscher Tamarack Invt. Fds.</t>
  </si>
  <si>
    <t>40-0000-0115</t>
  </si>
  <si>
    <t>Earnings</t>
  </si>
  <si>
    <t>Citizens State Bank - Sealy</t>
  </si>
  <si>
    <t>TexStar - Unrestricted / Endowments</t>
  </si>
  <si>
    <t>BNB-Endowment Fund</t>
  </si>
  <si>
    <t>8/31/2005</t>
  </si>
  <si>
    <t>7/31/2005</t>
  </si>
  <si>
    <t>8/31/2004</t>
  </si>
  <si>
    <t>x</t>
  </si>
  <si>
    <t>9/30/2005</t>
  </si>
  <si>
    <t>9/30/2004</t>
  </si>
  <si>
    <t>10/31/2005</t>
  </si>
  <si>
    <t>10-0000-2255</t>
  </si>
  <si>
    <t>10/31/2004</t>
  </si>
  <si>
    <t>11/30/2005</t>
  </si>
  <si>
    <t>11/30/2004</t>
  </si>
  <si>
    <t>60-0000-0066</t>
  </si>
  <si>
    <t>12/31/2005</t>
  </si>
  <si>
    <t>12/31/2004</t>
  </si>
  <si>
    <t>1/31/2006</t>
  </si>
  <si>
    <t>1/31/2005</t>
  </si>
  <si>
    <t>2/28/2006</t>
  </si>
  <si>
    <t>2/28/2005</t>
  </si>
  <si>
    <t>Bond &amp; Other</t>
  </si>
  <si>
    <t>Net</t>
  </si>
  <si>
    <t>Endowment @ 2/28/06</t>
  </si>
  <si>
    <t>3/31/2006</t>
  </si>
  <si>
    <t>3/31/2005</t>
  </si>
  <si>
    <t>X</t>
  </si>
  <si>
    <t>FHLB - 3128X4Y70 (Due 09/28/07)</t>
  </si>
  <si>
    <t>40-0000-0116</t>
  </si>
  <si>
    <t>4/30/2006</t>
  </si>
  <si>
    <t>4/30/2005</t>
  </si>
  <si>
    <t>5/31/2006</t>
  </si>
  <si>
    <t>5/31/2005</t>
  </si>
  <si>
    <t>Less-</t>
  </si>
  <si>
    <t>Board Designated</t>
  </si>
  <si>
    <t>Bond Reserve</t>
  </si>
  <si>
    <t>Endowment Balance</t>
  </si>
  <si>
    <t>6/30/2006</t>
  </si>
  <si>
    <t>6/30/2005</t>
  </si>
  <si>
    <t>7/31/2006</t>
  </si>
  <si>
    <t>8/31/2006</t>
  </si>
  <si>
    <t>Blue Bell Creameries, L.P.</t>
  </si>
  <si>
    <t>-</t>
  </si>
  <si>
    <t>40-0000-0180</t>
  </si>
  <si>
    <t>9/30/2006</t>
  </si>
  <si>
    <t>10/31/2006</t>
  </si>
  <si>
    <t>FHLB - 3133XHQE5 (Due 11/20/08)</t>
  </si>
  <si>
    <t>40-0000-0117</t>
  </si>
  <si>
    <t>11/30/2006</t>
  </si>
  <si>
    <t>FHLB - 3133XJDG0 (Due 12/29/08)</t>
  </si>
  <si>
    <t>12/31/2006</t>
  </si>
  <si>
    <t>40-0000-0118</t>
  </si>
  <si>
    <t>01/31/2007</t>
  </si>
  <si>
    <t>01/31/2006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</si>
</sst>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\-mmm\-yy;@"/>
    <numFmt numFmtId="168" formatCode="mmm\-yyyy"/>
    <numFmt numFmtId="169" formatCode="0.000%"/>
    <numFmt numFmtId="170" formatCode="0.0000%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10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41" fontId="1" fillId="0" borderId="0" xfId="15" applyNumberFormat="1" applyFont="1" applyAlignment="1">
      <alignment/>
    </xf>
    <xf numFmtId="41" fontId="1" fillId="0" borderId="0" xfId="0" applyNumberFormat="1" applyFont="1" applyAlignment="1">
      <alignment/>
    </xf>
    <xf numFmtId="40" fontId="2" fillId="0" borderId="0" xfId="0" applyNumberFormat="1" applyFont="1" applyFill="1" applyAlignment="1">
      <alignment horizontal="right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1" fillId="0" borderId="0" xfId="15" applyNumberFormat="1" applyFont="1" applyAlignment="1">
      <alignment/>
    </xf>
    <xf numFmtId="40" fontId="0" fillId="0" borderId="0" xfId="15" applyNumberFormat="1" applyFont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center"/>
    </xf>
    <xf numFmtId="40" fontId="1" fillId="0" borderId="0" xfId="15" applyNumberFormat="1" applyFont="1" applyFill="1" applyBorder="1" applyAlignment="1">
      <alignment/>
    </xf>
    <xf numFmtId="40" fontId="1" fillId="0" borderId="0" xfId="15" applyNumberFormat="1" applyFont="1" applyBorder="1" applyAlignment="1">
      <alignment/>
    </xf>
    <xf numFmtId="40" fontId="0" fillId="0" borderId="0" xfId="15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1" fillId="0" borderId="2" xfId="0" applyNumberFormat="1" applyFont="1" applyFill="1" applyBorder="1" applyAlignment="1" quotePrefix="1">
      <alignment horizontal="center"/>
    </xf>
    <xf numFmtId="40" fontId="2" fillId="0" borderId="1" xfId="0" applyNumberFormat="1" applyFont="1" applyFill="1" applyBorder="1" applyAlignment="1" quotePrefix="1">
      <alignment horizontal="center"/>
    </xf>
    <xf numFmtId="40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38" fontId="1" fillId="0" borderId="1" xfId="15" applyNumberFormat="1" applyFon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1" fillId="0" borderId="3" xfId="15" applyNumberFormat="1" applyFont="1" applyFill="1" applyBorder="1" applyAlignment="1">
      <alignment horizontal="right"/>
    </xf>
    <xf numFmtId="38" fontId="1" fillId="0" borderId="2" xfId="15" applyNumberFormat="1" applyFont="1" applyFill="1" applyBorder="1" applyAlignment="1">
      <alignment horizontal="right"/>
    </xf>
    <xf numFmtId="38" fontId="1" fillId="0" borderId="2" xfId="15" applyNumberFormat="1" applyFont="1" applyBorder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1" xfId="15" applyNumberFormat="1" applyFont="1" applyBorder="1" applyAlignment="1">
      <alignment horizontal="right"/>
    </xf>
    <xf numFmtId="41" fontId="1" fillId="0" borderId="0" xfId="15" applyNumberFormat="1" applyFont="1" applyFill="1" applyAlignment="1">
      <alignment horizontal="right"/>
    </xf>
    <xf numFmtId="41" fontId="1" fillId="0" borderId="0" xfId="15" applyNumberFormat="1" applyFont="1" applyFill="1" applyBorder="1" applyAlignment="1">
      <alignment horizontal="right"/>
    </xf>
    <xf numFmtId="41" fontId="1" fillId="0" borderId="3" xfId="15" applyNumberFormat="1" applyFont="1" applyFill="1" applyBorder="1" applyAlignment="1">
      <alignment horizontal="right"/>
    </xf>
    <xf numFmtId="41" fontId="1" fillId="0" borderId="2" xfId="15" applyNumberFormat="1" applyFont="1" applyFill="1" applyBorder="1" applyAlignment="1">
      <alignment horizontal="right"/>
    </xf>
    <xf numFmtId="41" fontId="1" fillId="0" borderId="2" xfId="15" applyNumberFormat="1" applyFont="1" applyBorder="1" applyAlignment="1">
      <alignment horizontal="right"/>
    </xf>
    <xf numFmtId="41" fontId="1" fillId="0" borderId="0" xfId="15" applyNumberFormat="1" applyFont="1" applyAlignment="1">
      <alignment horizontal="right"/>
    </xf>
    <xf numFmtId="41" fontId="1" fillId="0" borderId="1" xfId="15" applyNumberFormat="1" applyFont="1" applyBorder="1" applyAlignment="1">
      <alignment horizontal="right"/>
    </xf>
    <xf numFmtId="43" fontId="1" fillId="0" borderId="0" xfId="15" applyNumberFormat="1" applyFont="1" applyFill="1" applyAlignment="1">
      <alignment horizontal="right"/>
    </xf>
    <xf numFmtId="43" fontId="1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 horizontal="right"/>
    </xf>
    <xf numFmtId="43" fontId="1" fillId="0" borderId="2" xfId="15" applyNumberFormat="1" applyFont="1" applyFill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43" fontId="1" fillId="0" borderId="1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40" fontId="0" fillId="0" borderId="2" xfId="15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41">
    <pageSetUpPr fitToPage="1"/>
  </sheetPr>
  <dimension ref="A1:O51"/>
  <sheetViews>
    <sheetView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62</v>
      </c>
      <c r="D3" s="29" t="s">
        <v>10</v>
      </c>
      <c r="E3" s="29" t="s">
        <v>54</v>
      </c>
      <c r="F3" s="29" t="s">
        <v>11</v>
      </c>
      <c r="G3" s="41" t="s">
        <v>64</v>
      </c>
      <c r="H3" s="41" t="s">
        <v>64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0.0378</f>
        <v>0.0378</v>
      </c>
      <c r="C5" s="64">
        <v>1616383.22</v>
      </c>
      <c r="D5" s="64">
        <f>5803845.42</f>
        <v>5803845.42</v>
      </c>
      <c r="E5" s="64">
        <f>6005.5</f>
        <v>6005.5</v>
      </c>
      <c r="F5" s="64">
        <f>-6435713.13</f>
        <v>-6435713.13</v>
      </c>
      <c r="G5" s="65">
        <f aca="true" t="shared" si="0" ref="G5:G15">SUM(C5:F5)</f>
        <v>990521.0099999998</v>
      </c>
      <c r="H5" s="65">
        <f aca="true" t="shared" si="1" ref="H5:H14">G5</f>
        <v>990521.0099999998</v>
      </c>
      <c r="I5" s="66"/>
      <c r="J5" s="65">
        <f>H5-K5</f>
        <v>990521.0099999998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0.0378</f>
        <v>0.0378</v>
      </c>
      <c r="C6" s="64">
        <v>1656625.23</v>
      </c>
      <c r="D6" s="64">
        <f>879255.25</f>
        <v>879255.25</v>
      </c>
      <c r="E6" s="64">
        <f>1587.33</f>
        <v>1587.33</v>
      </c>
      <c r="F6" s="64">
        <f>-1677207.98</f>
        <v>-1677207.98</v>
      </c>
      <c r="G6" s="65">
        <f t="shared" si="0"/>
        <v>860259.8300000001</v>
      </c>
      <c r="H6" s="65">
        <f t="shared" si="1"/>
        <v>860259.8300000001</v>
      </c>
      <c r="I6" s="66"/>
      <c r="J6" s="65">
        <f>H6</f>
        <v>860259.8300000001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0.0378</f>
        <v>0.0378</v>
      </c>
      <c r="C7" s="64">
        <f>2445888.32</f>
        <v>2445888.32</v>
      </c>
      <c r="D7" s="64">
        <f>3831406.49</f>
        <v>3831406.49</v>
      </c>
      <c r="E7" s="64">
        <f>4103.95</f>
        <v>4103.95</v>
      </c>
      <c r="F7" s="64">
        <f>-5311137.33</f>
        <v>-5311137.33</v>
      </c>
      <c r="G7" s="65">
        <f t="shared" si="0"/>
        <v>970261.4300000006</v>
      </c>
      <c r="H7" s="65">
        <f t="shared" si="1"/>
        <v>970261.4300000006</v>
      </c>
      <c r="I7" s="66"/>
      <c r="J7" s="65">
        <f>H7</f>
        <v>970261.4300000006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0.0378</f>
        <v>0.0378</v>
      </c>
      <c r="C8" s="64">
        <f>30851.36</f>
        <v>30851.36</v>
      </c>
      <c r="D8" s="64">
        <f>2583137.73</f>
        <v>2583137.73</v>
      </c>
      <c r="E8" s="64">
        <f>362.22</f>
        <v>362.22</v>
      </c>
      <c r="F8" s="64">
        <f>-2583989.09</f>
        <v>-2583989.09</v>
      </c>
      <c r="G8" s="65">
        <f t="shared" si="0"/>
        <v>30362.220000000205</v>
      </c>
      <c r="H8" s="65">
        <f t="shared" si="1"/>
        <v>30362.220000000205</v>
      </c>
      <c r="I8" s="66"/>
      <c r="J8" s="65">
        <f>H8</f>
        <v>30362.220000000205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0.0378</f>
        <v>0.0378</v>
      </c>
      <c r="C9" s="64">
        <f>1593657.2</f>
        <v>1593657.2</v>
      </c>
      <c r="D9" s="64">
        <v>0</v>
      </c>
      <c r="E9" s="64">
        <f>4710.25</f>
        <v>4710.25</v>
      </c>
      <c r="F9" s="64">
        <v>0</v>
      </c>
      <c r="G9" s="65">
        <f t="shared" si="0"/>
        <v>1598367.45</v>
      </c>
      <c r="H9" s="65">
        <f t="shared" si="1"/>
        <v>1598367.45</v>
      </c>
      <c r="I9" s="66"/>
      <c r="J9" s="65">
        <v>0</v>
      </c>
      <c r="K9" s="65">
        <f>+H9</f>
        <v>1598367.45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1556.46</f>
        <v>1556.46</v>
      </c>
      <c r="D10" s="64">
        <f>2500</f>
        <v>2500</v>
      </c>
      <c r="E10" s="64">
        <v>0</v>
      </c>
      <c r="F10" s="64">
        <f>-2648.25</f>
        <v>-2648.25</v>
      </c>
      <c r="G10" s="65">
        <f t="shared" si="0"/>
        <v>1408.21</v>
      </c>
      <c r="H10" s="65">
        <f t="shared" si="1"/>
        <v>1408.21</v>
      </c>
      <c r="I10" s="66"/>
      <c r="J10" s="65">
        <f aca="true" t="shared" si="3" ref="J10:J15">H10</f>
        <v>1408.21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17451.85</f>
        <v>17451.85</v>
      </c>
      <c r="E11" s="64">
        <v>0</v>
      </c>
      <c r="F11" s="64">
        <f>-17451.85</f>
        <v>-17451.85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60745.55</f>
        <v>60745.55</v>
      </c>
      <c r="D12" s="64">
        <f>191964.15</f>
        <v>191964.15</v>
      </c>
      <c r="E12" s="64">
        <v>0</v>
      </c>
      <c r="F12" s="64">
        <f>-200999.7</f>
        <v>-200999.7</v>
      </c>
      <c r="G12" s="65">
        <f t="shared" si="0"/>
        <v>51710</v>
      </c>
      <c r="H12" s="65">
        <f t="shared" si="1"/>
        <v>51710</v>
      </c>
      <c r="I12" s="66"/>
      <c r="J12" s="65">
        <f t="shared" si="3"/>
        <v>51710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4774.88</f>
        <v>4774.88</v>
      </c>
      <c r="D13" s="64">
        <v>0</v>
      </c>
      <c r="E13" s="64">
        <v>0</v>
      </c>
      <c r="F13" s="64">
        <f>-150</f>
        <v>-150</v>
      </c>
      <c r="G13" s="65">
        <f t="shared" si="0"/>
        <v>4624.88</v>
      </c>
      <c r="H13" s="65">
        <f t="shared" si="1"/>
        <v>4624.88</v>
      </c>
      <c r="I13" s="66"/>
      <c r="J13" s="65">
        <f t="shared" si="3"/>
        <v>4624.88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84445.32</f>
        <v>84445.32</v>
      </c>
      <c r="D14" s="67">
        <f>13217.5</f>
        <v>13217.5</v>
      </c>
      <c r="E14" s="67">
        <v>0</v>
      </c>
      <c r="F14" s="67">
        <f>-85353.69</f>
        <v>-85353.69</v>
      </c>
      <c r="G14" s="66">
        <f t="shared" si="0"/>
        <v>12309.130000000005</v>
      </c>
      <c r="H14" s="66">
        <f t="shared" si="1"/>
        <v>12309.130000000005</v>
      </c>
      <c r="I14" s="66"/>
      <c r="J14" s="66">
        <f t="shared" si="3"/>
        <v>12309.130000000005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30645.85</f>
        <v>30645.85</v>
      </c>
      <c r="D15" s="67">
        <f>903.5+171+686+40</f>
        <v>1800.5</v>
      </c>
      <c r="E15" s="67">
        <v>0</v>
      </c>
      <c r="F15" s="67">
        <v>0</v>
      </c>
      <c r="G15" s="66">
        <f t="shared" si="0"/>
        <v>32446.35</v>
      </c>
      <c r="H15" s="68">
        <f>+G15</f>
        <v>32446.35</v>
      </c>
      <c r="I15" s="66"/>
      <c r="J15" s="68">
        <f t="shared" si="3"/>
        <v>32446.35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5301.25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7550573.39</v>
      </c>
      <c r="D16" s="69">
        <f t="shared" si="4"/>
        <v>13324578.89</v>
      </c>
      <c r="E16" s="69">
        <f t="shared" si="4"/>
        <v>16769.25</v>
      </c>
      <c r="F16" s="69">
        <f t="shared" si="4"/>
        <v>-16314651.019999998</v>
      </c>
      <c r="G16" s="69">
        <f t="shared" si="4"/>
        <v>4577270.51</v>
      </c>
      <c r="H16" s="69">
        <f t="shared" si="4"/>
        <v>4577270.51</v>
      </c>
      <c r="I16" s="66"/>
      <c r="J16" s="68">
        <f>SUM(J5:J15)</f>
        <v>2978903.0600000005</v>
      </c>
      <c r="K16" s="68">
        <f>SUM(K5:K15)</f>
        <v>1598367.45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0.037823</f>
        <v>0.037823</v>
      </c>
      <c r="C18" s="64">
        <f>318418.28</f>
        <v>318418.28</v>
      </c>
      <c r="D18" s="64">
        <v>0</v>
      </c>
      <c r="E18" s="64">
        <f>1022.87</f>
        <v>1022.87</v>
      </c>
      <c r="F18" s="64">
        <v>0</v>
      </c>
      <c r="G18" s="65">
        <f aca="true" t="shared" si="5" ref="G18:G23">SUM(C18:F18)</f>
        <v>319441.15</v>
      </c>
      <c r="H18" s="65">
        <f aca="true" t="shared" si="6" ref="H18:H23">G18</f>
        <v>319441.15</v>
      </c>
      <c r="I18" s="66"/>
      <c r="J18" s="65">
        <v>0</v>
      </c>
      <c r="K18" s="65">
        <f>H18</f>
        <v>319441.15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0.037823</f>
        <v>0.037823</v>
      </c>
      <c r="C19" s="64">
        <f>6745961.56</f>
        <v>6745961.56</v>
      </c>
      <c r="D19" s="64">
        <v>0</v>
      </c>
      <c r="E19" s="64">
        <f>18975.66</f>
        <v>18975.66</v>
      </c>
      <c r="F19" s="64">
        <f>-1000000</f>
        <v>-1000000</v>
      </c>
      <c r="G19" s="65">
        <f t="shared" si="5"/>
        <v>5764937.22</v>
      </c>
      <c r="H19" s="65">
        <f t="shared" si="6"/>
        <v>5764937.22</v>
      </c>
      <c r="I19" s="66"/>
      <c r="J19" s="65">
        <f>H19-K19</f>
        <v>5732873.22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0.0366</f>
        <v>0.0366</v>
      </c>
      <c r="C21" s="64">
        <f>867990.08</f>
        <v>867990.08</v>
      </c>
      <c r="D21" s="64">
        <v>0</v>
      </c>
      <c r="E21" s="64">
        <f>2700.97</f>
        <v>2700.97</v>
      </c>
      <c r="F21" s="64">
        <v>0</v>
      </c>
      <c r="G21" s="65">
        <f t="shared" si="5"/>
        <v>870691.0499999999</v>
      </c>
      <c r="H21" s="65">
        <f t="shared" si="6"/>
        <v>870691.0499999999</v>
      </c>
      <c r="I21" s="66"/>
      <c r="J21" s="65">
        <f>H21-K21</f>
        <v>870691.0499999999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0.0366</f>
        <v>0.0366</v>
      </c>
      <c r="C22" s="64">
        <f>4149723.78</f>
        <v>4149723.78</v>
      </c>
      <c r="D22" s="64">
        <v>0</v>
      </c>
      <c r="E22" s="64">
        <f>12913.51</f>
        <v>12913.51</v>
      </c>
      <c r="F22" s="64">
        <v>0</v>
      </c>
      <c r="G22" s="65">
        <f t="shared" si="5"/>
        <v>4162637.2899999996</v>
      </c>
      <c r="H22" s="65">
        <f t="shared" si="6"/>
        <v>4162637.2899999996</v>
      </c>
      <c r="I22" s="66"/>
      <c r="J22" s="65">
        <f>H22-K22</f>
        <v>0</v>
      </c>
      <c r="K22" s="65">
        <f>+G22</f>
        <v>4162637.2899999996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0.037095</f>
        <v>0.037095</v>
      </c>
      <c r="C23" s="70">
        <f>2052310.47</f>
        <v>2052310.47</v>
      </c>
      <c r="D23" s="70">
        <v>0</v>
      </c>
      <c r="E23" s="70">
        <f>6465.9</f>
        <v>6465.9</v>
      </c>
      <c r="F23" s="70">
        <v>0</v>
      </c>
      <c r="G23" s="68">
        <f t="shared" si="5"/>
        <v>2058776.3699999999</v>
      </c>
      <c r="H23" s="68">
        <f t="shared" si="6"/>
        <v>2058776.3699999999</v>
      </c>
      <c r="I23" s="66"/>
      <c r="J23" s="68">
        <f>H23-K23</f>
        <v>2001759.0899999999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14134404.17</v>
      </c>
      <c r="D24" s="70">
        <f t="shared" si="7"/>
        <v>0</v>
      </c>
      <c r="E24" s="70">
        <f t="shared" si="7"/>
        <v>42078.91</v>
      </c>
      <c r="F24" s="70">
        <f t="shared" si="7"/>
        <v>-1000000</v>
      </c>
      <c r="G24" s="68">
        <f t="shared" si="7"/>
        <v>13176483.079999998</v>
      </c>
      <c r="H24" s="68">
        <f t="shared" si="7"/>
        <v>13176483.079999998</v>
      </c>
      <c r="I24" s="66"/>
      <c r="J24" s="68">
        <f>SUM(J18:J23)</f>
        <v>8605323.36</v>
      </c>
      <c r="K24" s="68">
        <f>SUM(K18:K23)</f>
        <v>4571159.72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6933.34</v>
      </c>
      <c r="F26" s="67">
        <f>-41600</f>
        <v>-41600</v>
      </c>
      <c r="G26" s="66">
        <f aca="true" t="shared" si="8" ref="G26:G32">SUM(C26:F26)</f>
        <v>2008782.23</v>
      </c>
      <c r="H26" s="66">
        <f>1960662.23</f>
        <v>1960662.23</v>
      </c>
      <c r="I26" s="66"/>
      <c r="J26" s="66">
        <v>0</v>
      </c>
      <c r="K26" s="66">
        <f aca="true" t="shared" si="9" ref="K26:K32">G26</f>
        <v>2008782.23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v>1364</v>
      </c>
      <c r="F27" s="67">
        <v>0</v>
      </c>
      <c r="G27" s="66">
        <f t="shared" si="8"/>
        <v>488184</v>
      </c>
      <c r="H27" s="66">
        <f>476784</f>
        <v>476784</v>
      </c>
      <c r="I27" s="66"/>
      <c r="J27" s="66">
        <v>0</v>
      </c>
      <c r="K27" s="66">
        <f t="shared" si="9"/>
        <v>488184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996000</f>
        <v>996000</v>
      </c>
      <c r="I28" s="66"/>
      <c r="J28" s="66">
        <v>0</v>
      </c>
      <c r="K28" s="66">
        <f t="shared" si="9"/>
        <v>1016000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f>1538.34</f>
        <v>1538.34</v>
      </c>
      <c r="F29" s="67">
        <v>0</v>
      </c>
      <c r="G29" s="66">
        <f t="shared" si="8"/>
        <v>528922.34</v>
      </c>
      <c r="H29" s="66">
        <f>517872.34</f>
        <v>517872.34</v>
      </c>
      <c r="I29" s="66"/>
      <c r="J29" s="66">
        <v>0</v>
      </c>
      <c r="K29" s="66">
        <f t="shared" si="9"/>
        <v>528922.34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992810.83</f>
        <v>992810.83</v>
      </c>
      <c r="I30" s="66"/>
      <c r="J30" s="66">
        <v>0</v>
      </c>
      <c r="K30" s="66">
        <f t="shared" si="9"/>
        <v>1016560.83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1015333.33</f>
        <v>1015333.33</v>
      </c>
      <c r="D31" s="67">
        <v>0</v>
      </c>
      <c r="E31" s="67">
        <f>2583.33</f>
        <v>2583.33</v>
      </c>
      <c r="F31" s="67">
        <f>-15000</f>
        <v>-15000</v>
      </c>
      <c r="G31" s="66">
        <f t="shared" si="8"/>
        <v>1002916.6599999999</v>
      </c>
      <c r="H31" s="66">
        <f>1000726.66</f>
        <v>1000726.66</v>
      </c>
      <c r="I31" s="66"/>
      <c r="J31" s="66">
        <v>0</v>
      </c>
      <c r="K31" s="66">
        <f t="shared" si="9"/>
        <v>1002916.6599999999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2902.28</f>
        <v>2902.28</v>
      </c>
      <c r="D32" s="70">
        <v>0</v>
      </c>
      <c r="E32" s="70">
        <v>4.45</v>
      </c>
      <c r="F32" s="70">
        <v>0</v>
      </c>
      <c r="G32" s="68">
        <f t="shared" si="8"/>
        <v>2906.73</v>
      </c>
      <c r="H32" s="68">
        <f>2906.73</f>
        <v>2906.73</v>
      </c>
      <c r="I32" s="66"/>
      <c r="J32" s="68">
        <v>0</v>
      </c>
      <c r="K32" s="68">
        <f t="shared" si="9"/>
        <v>2906.73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6102974.33</v>
      </c>
      <c r="D33" s="71">
        <f t="shared" si="10"/>
        <v>0</v>
      </c>
      <c r="E33" s="71">
        <f t="shared" si="10"/>
        <v>17898.460000000003</v>
      </c>
      <c r="F33" s="71">
        <f t="shared" si="10"/>
        <v>-56600</v>
      </c>
      <c r="G33" s="72">
        <f t="shared" si="10"/>
        <v>6064272.79</v>
      </c>
      <c r="H33" s="72">
        <f t="shared" si="10"/>
        <v>5947762.79</v>
      </c>
      <c r="I33" s="73"/>
      <c r="J33" s="72">
        <f>SUM(J26:J26)</f>
        <v>0</v>
      </c>
      <c r="K33" s="72">
        <f>SUM(K26:K32)</f>
        <v>6064272.79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27787951.89</v>
      </c>
      <c r="D35" s="77">
        <f t="shared" si="11"/>
        <v>13324578.89</v>
      </c>
      <c r="E35" s="77">
        <f t="shared" si="11"/>
        <v>76746.62000000001</v>
      </c>
      <c r="F35" s="77">
        <f t="shared" si="11"/>
        <v>-17371251.019999996</v>
      </c>
      <c r="G35" s="78">
        <f t="shared" si="11"/>
        <v>23818026.379999995</v>
      </c>
      <c r="H35" s="78">
        <f t="shared" si="11"/>
        <v>23701516.379999995</v>
      </c>
      <c r="I35" s="73"/>
      <c r="J35" s="78">
        <f>SUM(J33,J24,J16)</f>
        <v>11584226.42</v>
      </c>
      <c r="K35" s="78">
        <f>SUM(K33,K24,K16)</f>
        <v>12233799.959999999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64</v>
      </c>
      <c r="D37" s="40" t="s">
        <v>62</v>
      </c>
      <c r="E37" s="40" t="s">
        <v>66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0.04125</f>
        <v>0.04125</v>
      </c>
      <c r="D38" s="18">
        <f>0.03745</f>
        <v>0.03745</v>
      </c>
      <c r="E38" s="18">
        <v>0.0214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OCTOBER 31,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149">
    <pageSetUpPr fitToPage="1"/>
  </sheetPr>
  <dimension ref="A1:O51"/>
  <sheetViews>
    <sheetView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84</v>
      </c>
      <c r="D3" s="29" t="s">
        <v>10</v>
      </c>
      <c r="E3" s="29" t="s">
        <v>54</v>
      </c>
      <c r="F3" s="29" t="s">
        <v>11</v>
      </c>
      <c r="G3" s="41" t="s">
        <v>86</v>
      </c>
      <c r="H3" s="41" t="s">
        <v>86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4.88%</f>
        <v>0.048799999999999996</v>
      </c>
      <c r="C5" s="64">
        <f>2982578.18</f>
        <v>2982578.18</v>
      </c>
      <c r="D5" s="64">
        <f>4255101.78</f>
        <v>4255101.78</v>
      </c>
      <c r="E5" s="64">
        <f>12077.1</f>
        <v>12077.1</v>
      </c>
      <c r="F5" s="64">
        <f>-4282025.57</f>
        <v>-4282025.57</v>
      </c>
      <c r="G5" s="65">
        <f aca="true" t="shared" si="0" ref="G5:G15">SUM(C5:F5)</f>
        <v>2967731.49</v>
      </c>
      <c r="H5" s="65">
        <f aca="true" t="shared" si="1" ref="H5:H14">G5</f>
        <v>2967731.49</v>
      </c>
      <c r="I5" s="66"/>
      <c r="J5" s="65">
        <f>H5-K5</f>
        <v>2967731.49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4.88%</f>
        <v>0.048799999999999996</v>
      </c>
      <c r="C6" s="64">
        <f>703316.72</f>
        <v>703316.72</v>
      </c>
      <c r="D6" s="64">
        <f>74391.52</f>
        <v>74391.52</v>
      </c>
      <c r="E6" s="64">
        <f>3065.86</f>
        <v>3065.86</v>
      </c>
      <c r="F6" s="64">
        <f>-1272.64</f>
        <v>-1272.64</v>
      </c>
      <c r="G6" s="65">
        <f t="shared" si="0"/>
        <v>779501.46</v>
      </c>
      <c r="H6" s="65">
        <f t="shared" si="1"/>
        <v>779501.46</v>
      </c>
      <c r="I6" s="66"/>
      <c r="J6" s="65">
        <f>H6</f>
        <v>779501.46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4.88%</f>
        <v>0.048799999999999996</v>
      </c>
      <c r="C7" s="64">
        <f>981355.43</f>
        <v>981355.43</v>
      </c>
      <c r="D7" s="64">
        <f>1524644.53</f>
        <v>1524644.53</v>
      </c>
      <c r="E7" s="64">
        <f>3657.83</f>
        <v>3657.83</v>
      </c>
      <c r="F7" s="64">
        <f>-1784868.38</f>
        <v>-1784868.38</v>
      </c>
      <c r="G7" s="65">
        <f t="shared" si="0"/>
        <v>724789.4100000001</v>
      </c>
      <c r="H7" s="65">
        <f t="shared" si="1"/>
        <v>724789.4100000001</v>
      </c>
      <c r="I7" s="66"/>
      <c r="J7" s="65">
        <f>H7</f>
        <v>724789.4100000001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4.88%</f>
        <v>0.048799999999999996</v>
      </c>
      <c r="C8" s="64">
        <f>30444.16</f>
        <v>30444.16</v>
      </c>
      <c r="D8" s="64">
        <f>2741306.86</f>
        <v>2741306.86</v>
      </c>
      <c r="E8" s="64">
        <f>748.96</f>
        <v>748.96</v>
      </c>
      <c r="F8" s="64">
        <f>-2761594.03</f>
        <v>-2761594.03</v>
      </c>
      <c r="G8" s="65">
        <f t="shared" si="0"/>
        <v>10905.950000000186</v>
      </c>
      <c r="H8" s="65">
        <f t="shared" si="1"/>
        <v>10905.950000000186</v>
      </c>
      <c r="I8" s="66"/>
      <c r="J8" s="65">
        <f>H8</f>
        <v>10905.950000000186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4.88%</f>
        <v>0.048799999999999996</v>
      </c>
      <c r="C9" s="64">
        <f>1633105.08</f>
        <v>1633105.08</v>
      </c>
      <c r="D9" s="64">
        <v>0</v>
      </c>
      <c r="E9" s="64">
        <f>6616.09</f>
        <v>6616.09</v>
      </c>
      <c r="F9" s="64">
        <v>0</v>
      </c>
      <c r="G9" s="65">
        <f t="shared" si="0"/>
        <v>1639721.1700000002</v>
      </c>
      <c r="H9" s="65">
        <f t="shared" si="1"/>
        <v>1639721.1700000002</v>
      </c>
      <c r="I9" s="66"/>
      <c r="J9" s="65">
        <v>0</v>
      </c>
      <c r="K9" s="65">
        <f>+H9</f>
        <v>1639721.1700000002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2885.91</f>
        <v>2885.91</v>
      </c>
      <c r="D10" s="64">
        <v>0</v>
      </c>
      <c r="E10" s="64">
        <v>0</v>
      </c>
      <c r="F10" s="64">
        <f>-1346.73</f>
        <v>-1346.73</v>
      </c>
      <c r="G10" s="65">
        <f t="shared" si="0"/>
        <v>1539.1799999999998</v>
      </c>
      <c r="H10" s="65">
        <f t="shared" si="1"/>
        <v>1539.1799999999998</v>
      </c>
      <c r="I10" s="66"/>
      <c r="J10" s="65">
        <f aca="true" t="shared" si="3" ref="J10:J15">H10</f>
        <v>1539.1799999999998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865086.78</f>
        <v>865086.78</v>
      </c>
      <c r="E11" s="64">
        <v>0</v>
      </c>
      <c r="F11" s="64">
        <f>-865086.78</f>
        <v>-865086.78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162425.58</f>
        <v>162425.58</v>
      </c>
      <c r="D12" s="64">
        <f>487888.35</f>
        <v>487888.35</v>
      </c>
      <c r="E12" s="64">
        <v>0</v>
      </c>
      <c r="F12" s="64">
        <f>-551511.73</f>
        <v>-551511.73</v>
      </c>
      <c r="G12" s="65">
        <f t="shared" si="0"/>
        <v>98802.19999999995</v>
      </c>
      <c r="H12" s="65">
        <f t="shared" si="1"/>
        <v>98802.19999999995</v>
      </c>
      <c r="I12" s="66"/>
      <c r="J12" s="65">
        <f t="shared" si="3"/>
        <v>98802.19999999995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3451.51</f>
        <v>3451.51</v>
      </c>
      <c r="D13" s="64">
        <v>0</v>
      </c>
      <c r="E13" s="64">
        <v>0</v>
      </c>
      <c r="F13" s="64">
        <v>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51268.91</f>
        <v>51268.91</v>
      </c>
      <c r="D14" s="67">
        <f>32906.06</f>
        <v>32906.06</v>
      </c>
      <c r="E14" s="67">
        <v>0</v>
      </c>
      <c r="F14" s="67">
        <f>-16093.4</f>
        <v>-16093.4</v>
      </c>
      <c r="G14" s="66">
        <f t="shared" si="0"/>
        <v>68081.57</v>
      </c>
      <c r="H14" s="66">
        <f t="shared" si="1"/>
        <v>68081.57</v>
      </c>
      <c r="I14" s="66"/>
      <c r="J14" s="66">
        <f t="shared" si="3"/>
        <v>68081.57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17969.17</f>
        <v>17969.17</v>
      </c>
      <c r="D15" s="67">
        <f>4206+5245+1061+126.3+654</f>
        <v>11292.3</v>
      </c>
      <c r="E15" s="67">
        <v>0</v>
      </c>
      <c r="F15" s="67">
        <v>0</v>
      </c>
      <c r="G15" s="66">
        <f t="shared" si="0"/>
        <v>29261.469999999998</v>
      </c>
      <c r="H15" s="68">
        <f>+G15</f>
        <v>29261.469999999998</v>
      </c>
      <c r="I15" s="66"/>
      <c r="J15" s="68">
        <f t="shared" si="3"/>
        <v>29261.469999999998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6593800.65</v>
      </c>
      <c r="D16" s="69">
        <f t="shared" si="4"/>
        <v>9992618.18</v>
      </c>
      <c r="E16" s="69">
        <f t="shared" si="4"/>
        <v>26165.84</v>
      </c>
      <c r="F16" s="69">
        <f t="shared" si="4"/>
        <v>-10263799.26</v>
      </c>
      <c r="G16" s="69">
        <f t="shared" si="4"/>
        <v>6348785.41</v>
      </c>
      <c r="H16" s="69">
        <f t="shared" si="4"/>
        <v>6348785.41</v>
      </c>
      <c r="I16" s="66"/>
      <c r="J16" s="68">
        <f>SUM(J5:J15)</f>
        <v>4709064.24</v>
      </c>
      <c r="K16" s="68">
        <f>SUM(K5:K15)</f>
        <v>1639721.1700000002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0.049024</v>
      </c>
      <c r="C18" s="64">
        <f>326423.51</f>
        <v>326423.51</v>
      </c>
      <c r="D18" s="64">
        <v>0</v>
      </c>
      <c r="E18" s="64">
        <f>1359.12</f>
        <v>1359.12</v>
      </c>
      <c r="F18" s="64">
        <v>0</v>
      </c>
      <c r="G18" s="65">
        <f aca="true" t="shared" si="5" ref="G18:G23">SUM(C18:F18)</f>
        <v>327782.63</v>
      </c>
      <c r="H18" s="65">
        <f aca="true" t="shared" si="6" ref="H18:H23">G18</f>
        <v>327782.63</v>
      </c>
      <c r="I18" s="66"/>
      <c r="J18" s="65">
        <v>0</v>
      </c>
      <c r="K18" s="65">
        <f>H18</f>
        <v>327782.63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0.049024</v>
      </c>
      <c r="C19" s="64">
        <f>472518.76</f>
        <v>472518.76</v>
      </c>
      <c r="D19" s="64">
        <v>0</v>
      </c>
      <c r="E19" s="64">
        <f>1967.41</f>
        <v>1967.41</v>
      </c>
      <c r="F19" s="64">
        <v>0</v>
      </c>
      <c r="G19" s="65">
        <f t="shared" si="5"/>
        <v>474486.17</v>
      </c>
      <c r="H19" s="65">
        <f t="shared" si="6"/>
        <v>474486.17</v>
      </c>
      <c r="I19" s="66"/>
      <c r="J19" s="65">
        <f>H19-K19</f>
        <v>442422.17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0.0484</v>
      </c>
      <c r="C21" s="64">
        <f>889393.24</f>
        <v>889393.24</v>
      </c>
      <c r="D21" s="64">
        <v>0</v>
      </c>
      <c r="E21" s="64">
        <f>3655.57</f>
        <v>3655.57</v>
      </c>
      <c r="F21" s="64">
        <v>0</v>
      </c>
      <c r="G21" s="65">
        <f t="shared" si="5"/>
        <v>893048.8099999999</v>
      </c>
      <c r="H21" s="65">
        <f t="shared" si="6"/>
        <v>893048.8099999999</v>
      </c>
      <c r="I21" s="66"/>
      <c r="J21" s="65">
        <f>H21-K21</f>
        <v>893048.8099999999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0.0484</v>
      </c>
      <c r="C22" s="64">
        <f>4665802.77</f>
        <v>4665802.77</v>
      </c>
      <c r="D22" s="64">
        <v>0</v>
      </c>
      <c r="E22" s="64">
        <f>19177.29</f>
        <v>19177.29</v>
      </c>
      <c r="F22" s="64">
        <v>0</v>
      </c>
      <c r="G22" s="65">
        <f t="shared" si="5"/>
        <v>4684980.06</v>
      </c>
      <c r="H22" s="65">
        <f t="shared" si="6"/>
        <v>4684980.06</v>
      </c>
      <c r="I22" s="66"/>
      <c r="J22" s="65">
        <f>H22-K22</f>
        <v>0</v>
      </c>
      <c r="K22" s="65">
        <f>+G22</f>
        <v>4684980.06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0.048929</f>
        <v>0.048929</v>
      </c>
      <c r="C23" s="70">
        <f>2103835.82</f>
        <v>2103835.82</v>
      </c>
      <c r="D23" s="70">
        <v>0</v>
      </c>
      <c r="E23" s="70">
        <f>8742.68</f>
        <v>8742.68</v>
      </c>
      <c r="F23" s="70">
        <v>0</v>
      </c>
      <c r="G23" s="68">
        <f t="shared" si="5"/>
        <v>2112578.5</v>
      </c>
      <c r="H23" s="68">
        <f t="shared" si="6"/>
        <v>2112578.5</v>
      </c>
      <c r="I23" s="66"/>
      <c r="J23" s="68">
        <f>H23-K23</f>
        <v>2053886.85</v>
      </c>
      <c r="K23" s="68">
        <f>58691.65</f>
        <v>58691.65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8457974.1</v>
      </c>
      <c r="D24" s="70">
        <f t="shared" si="7"/>
        <v>0</v>
      </c>
      <c r="E24" s="70">
        <f t="shared" si="7"/>
        <v>34902.07</v>
      </c>
      <c r="F24" s="70">
        <f t="shared" si="7"/>
        <v>0</v>
      </c>
      <c r="G24" s="68">
        <f t="shared" si="7"/>
        <v>8492876.17</v>
      </c>
      <c r="H24" s="68">
        <f t="shared" si="7"/>
        <v>8492876.17</v>
      </c>
      <c r="I24" s="66"/>
      <c r="J24" s="68">
        <f>SUM(J18:J23)</f>
        <v>3389357.83</v>
      </c>
      <c r="K24" s="68">
        <f>SUM(K18:K23)</f>
        <v>5103518.34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2008782.22</f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2">SUM(C26:F26)</f>
        <v>2015715.56</v>
      </c>
      <c r="H26" s="66">
        <f>1927500+15715.56</f>
        <v>1943215.56</v>
      </c>
      <c r="I26" s="66"/>
      <c r="J26" s="66">
        <v>0</v>
      </c>
      <c r="K26" s="66">
        <f aca="true" t="shared" si="9" ref="K26:K32">G26</f>
        <v>2015715.56</v>
      </c>
      <c r="L26" s="2" t="s">
        <v>38</v>
      </c>
      <c r="M26" s="2" t="s">
        <v>61</v>
      </c>
      <c r="N26" s="79">
        <f aca="true" t="shared" si="10" ref="N26:N31">+G26-H26</f>
        <v>72500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8"/>
        <v>481364</v>
      </c>
      <c r="H27" s="66">
        <f>467400+1364</f>
        <v>468764</v>
      </c>
      <c r="I27" s="66"/>
      <c r="J27" s="66">
        <v>0</v>
      </c>
      <c r="K27" s="66">
        <f t="shared" si="9"/>
        <v>481364</v>
      </c>
      <c r="L27" s="2" t="s">
        <v>39</v>
      </c>
      <c r="M27" s="2" t="s">
        <v>61</v>
      </c>
      <c r="N27" s="79">
        <f t="shared" si="10"/>
        <v>12600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980630+3500</f>
        <v>984130</v>
      </c>
      <c r="I28" s="66"/>
      <c r="J28" s="66">
        <v>0</v>
      </c>
      <c r="K28" s="66">
        <f t="shared" si="9"/>
        <v>1003500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528922.33</f>
        <v>528922.33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521230.6699999999</v>
      </c>
      <c r="H29" s="66">
        <f>507161.2+1230.67</f>
        <v>508391.87</v>
      </c>
      <c r="I29" s="66"/>
      <c r="J29" s="66">
        <v>0</v>
      </c>
      <c r="K29" s="66">
        <f t="shared" si="9"/>
        <v>521230.6699999999</v>
      </c>
      <c r="L29" s="2" t="s">
        <v>46</v>
      </c>
      <c r="M29" s="2" t="s">
        <v>61</v>
      </c>
      <c r="N29" s="79">
        <f t="shared" si="10"/>
        <v>12838.79999999993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971560+1685.83</f>
        <v>973245.83</v>
      </c>
      <c r="I30" s="66"/>
      <c r="J30" s="66">
        <v>0</v>
      </c>
      <c r="K30" s="66">
        <f t="shared" si="9"/>
        <v>1001685.83</v>
      </c>
      <c r="L30" s="2" t="s">
        <v>47</v>
      </c>
      <c r="M30" s="2" t="s">
        <v>61</v>
      </c>
      <c r="N30" s="79">
        <f t="shared" si="10"/>
        <v>28440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1004270.83</f>
        <v>1004270.83</v>
      </c>
      <c r="D31" s="67">
        <v>0</v>
      </c>
      <c r="E31" s="67">
        <f>4270.84</f>
        <v>4270.84</v>
      </c>
      <c r="F31" s="67">
        <v>0</v>
      </c>
      <c r="G31" s="66">
        <f t="shared" si="8"/>
        <v>1008541.6699999999</v>
      </c>
      <c r="H31" s="66">
        <f>995990+8541.67</f>
        <v>1004531.67</v>
      </c>
      <c r="I31" s="66"/>
      <c r="J31" s="66">
        <v>0</v>
      </c>
      <c r="K31" s="66">
        <f t="shared" si="9"/>
        <v>1008541.6699999999</v>
      </c>
      <c r="L31" s="2" t="s">
        <v>83</v>
      </c>
      <c r="M31" s="2" t="s">
        <v>61</v>
      </c>
      <c r="N31" s="79">
        <f t="shared" si="10"/>
        <v>4009.9999999998836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f>3006.06</f>
        <v>3006.06</v>
      </c>
      <c r="D32" s="70">
        <v>0</v>
      </c>
      <c r="E32" s="70">
        <f>6.98</f>
        <v>6.98</v>
      </c>
      <c r="F32" s="70">
        <v>0</v>
      </c>
      <c r="G32" s="68">
        <f t="shared" si="8"/>
        <v>3013.04</v>
      </c>
      <c r="H32" s="68">
        <f>+G32</f>
        <v>3013.04</v>
      </c>
      <c r="I32" s="66"/>
      <c r="J32" s="68">
        <v>0</v>
      </c>
      <c r="K32" s="68">
        <f t="shared" si="9"/>
        <v>3013.04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6065726.27</v>
      </c>
      <c r="D33" s="71">
        <f t="shared" si="11"/>
        <v>0</v>
      </c>
      <c r="E33" s="71">
        <f t="shared" si="11"/>
        <v>19588.5</v>
      </c>
      <c r="F33" s="71">
        <f t="shared" si="11"/>
        <v>-50264</v>
      </c>
      <c r="G33" s="72">
        <f t="shared" si="11"/>
        <v>6035050.77</v>
      </c>
      <c r="H33" s="72">
        <f t="shared" si="11"/>
        <v>5885291.97</v>
      </c>
      <c r="I33" s="73"/>
      <c r="J33" s="72">
        <f>SUM(J26:J26)</f>
        <v>0</v>
      </c>
      <c r="K33" s="72">
        <f>SUM(K26:K32)</f>
        <v>6035050.77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21117501.02</v>
      </c>
      <c r="D35" s="77">
        <f t="shared" si="12"/>
        <v>9992618.18</v>
      </c>
      <c r="E35" s="77">
        <f t="shared" si="12"/>
        <v>80656.41</v>
      </c>
      <c r="F35" s="77">
        <f t="shared" si="12"/>
        <v>-10314063.26</v>
      </c>
      <c r="G35" s="78">
        <f t="shared" si="12"/>
        <v>20876712.35</v>
      </c>
      <c r="H35" s="78">
        <f t="shared" si="12"/>
        <v>20726953.55</v>
      </c>
      <c r="I35" s="73"/>
      <c r="J35" s="78">
        <f>SUM(J33,J24,J16)</f>
        <v>8098422.07</v>
      </c>
      <c r="K35" s="78">
        <f>SUM(K33,K24,K16)</f>
        <v>12778290.28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86</v>
      </c>
      <c r="D37" s="40" t="s">
        <v>84</v>
      </c>
      <c r="E37" s="40" t="s">
        <v>87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0.0484</f>
        <v>0.0484</v>
      </c>
      <c r="D38" s="18">
        <f>4.78%</f>
        <v>0.0478</v>
      </c>
      <c r="E38" s="18">
        <f>3.11%</f>
        <v>0.0311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MAY 31, 2006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50">
    <pageSetUpPr fitToPage="1"/>
  </sheetPr>
  <dimension ref="A1:O51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7" sqref="J3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86</v>
      </c>
      <c r="D3" s="29" t="s">
        <v>10</v>
      </c>
      <c r="E3" s="29" t="s">
        <v>54</v>
      </c>
      <c r="F3" s="29" t="s">
        <v>11</v>
      </c>
      <c r="G3" s="41" t="s">
        <v>92</v>
      </c>
      <c r="H3" s="41" t="s">
        <v>92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4.98%</f>
        <v>0.049800000000000004</v>
      </c>
      <c r="C5" s="64">
        <v>2967731.49</v>
      </c>
      <c r="D5" s="64">
        <f>4313681.22</f>
        <v>4313681.22</v>
      </c>
      <c r="E5" s="64">
        <f>11854.77</f>
        <v>11854.77</v>
      </c>
      <c r="F5" s="64">
        <f>-4755585.95</f>
        <v>-4755585.95</v>
      </c>
      <c r="G5" s="65">
        <f aca="true" t="shared" si="0" ref="G5:G15">SUM(C5:F5)</f>
        <v>2537681.5299999993</v>
      </c>
      <c r="H5" s="65">
        <f aca="true" t="shared" si="1" ref="H5:H14">G5</f>
        <v>2537681.5299999993</v>
      </c>
      <c r="I5" s="66"/>
      <c r="J5" s="65">
        <f>H5-K5</f>
        <v>2537681.5299999993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4.98%</f>
        <v>0.049800000000000004</v>
      </c>
      <c r="C6" s="64">
        <v>779501.46</v>
      </c>
      <c r="D6" s="64">
        <f>295070.22</f>
        <v>295070.22</v>
      </c>
      <c r="E6" s="64">
        <f>4167.3</f>
        <v>4167.3</v>
      </c>
      <c r="F6" s="64">
        <f>-30308.44</f>
        <v>-30308.44</v>
      </c>
      <c r="G6" s="65">
        <f t="shared" si="0"/>
        <v>1048430.54</v>
      </c>
      <c r="H6" s="65">
        <f t="shared" si="1"/>
        <v>1048430.54</v>
      </c>
      <c r="I6" s="66"/>
      <c r="J6" s="65">
        <f>H6</f>
        <v>1048430.54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4.98%</f>
        <v>0.049800000000000004</v>
      </c>
      <c r="C7" s="64">
        <v>724789.41</v>
      </c>
      <c r="D7" s="64">
        <f>1693726.05</f>
        <v>1693726.05</v>
      </c>
      <c r="E7" s="64">
        <f>3706.77</f>
        <v>3706.77</v>
      </c>
      <c r="F7" s="64">
        <f>-1561756.78</f>
        <v>-1561756.78</v>
      </c>
      <c r="G7" s="65">
        <f t="shared" si="0"/>
        <v>860465.45</v>
      </c>
      <c r="H7" s="65">
        <f t="shared" si="1"/>
        <v>860465.45</v>
      </c>
      <c r="I7" s="66"/>
      <c r="J7" s="65">
        <f>H7</f>
        <v>860465.45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4.98%</f>
        <v>0.049800000000000004</v>
      </c>
      <c r="C8" s="64">
        <v>10905.950000000186</v>
      </c>
      <c r="D8" s="64">
        <f>3055158.36</f>
        <v>3055158.36</v>
      </c>
      <c r="E8" s="64">
        <f>457.83</f>
        <v>457.83</v>
      </c>
      <c r="F8" s="64">
        <f>-3055907.32</f>
        <v>-3055907.32</v>
      </c>
      <c r="G8" s="65">
        <f t="shared" si="0"/>
        <v>10614.820000000298</v>
      </c>
      <c r="H8" s="65">
        <f t="shared" si="1"/>
        <v>10614.820000000298</v>
      </c>
      <c r="I8" s="66"/>
      <c r="J8" s="65">
        <f>H8</f>
        <v>10614.820000000298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4.98%</f>
        <v>0.049800000000000004</v>
      </c>
      <c r="C9" s="64">
        <v>1639721.17</v>
      </c>
      <c r="D9" s="64">
        <v>0</v>
      </c>
      <c r="E9" s="64">
        <f>7000.93</f>
        <v>7000.93</v>
      </c>
      <c r="F9" s="64">
        <v>0</v>
      </c>
      <c r="G9" s="65">
        <f t="shared" si="0"/>
        <v>1646722.0999999999</v>
      </c>
      <c r="H9" s="65">
        <f t="shared" si="1"/>
        <v>1646722.0999999999</v>
      </c>
      <c r="I9" s="66"/>
      <c r="J9" s="65">
        <v>0</v>
      </c>
      <c r="K9" s="65">
        <f>+H9</f>
        <v>1646722.0999999999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1539.18</v>
      </c>
      <c r="D10" s="64">
        <f>2500</f>
        <v>2500</v>
      </c>
      <c r="E10" s="64">
        <v>0</v>
      </c>
      <c r="F10" s="64">
        <f>-1522</f>
        <v>-1522</v>
      </c>
      <c r="G10" s="65">
        <f t="shared" si="0"/>
        <v>2517.1800000000003</v>
      </c>
      <c r="H10" s="65">
        <f t="shared" si="1"/>
        <v>2517.1800000000003</v>
      </c>
      <c r="I10" s="66"/>
      <c r="J10" s="65">
        <f aca="true" t="shared" si="3" ref="J10:J15">H10</f>
        <v>2517.1800000000003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890938.52</f>
        <v>890938.52</v>
      </c>
      <c r="E11" s="64">
        <v>0</v>
      </c>
      <c r="F11" s="64">
        <f>-890938.52</f>
        <v>-890938.52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98802.2</v>
      </c>
      <c r="D12" s="64">
        <f>471857.4</f>
        <v>471857.4</v>
      </c>
      <c r="E12" s="64">
        <v>0</v>
      </c>
      <c r="F12" s="64">
        <f>-470766.75</f>
        <v>-470766.75</v>
      </c>
      <c r="G12" s="65">
        <f t="shared" si="0"/>
        <v>99892.84999999998</v>
      </c>
      <c r="H12" s="65">
        <f t="shared" si="1"/>
        <v>99892.84999999998</v>
      </c>
      <c r="I12" s="66"/>
      <c r="J12" s="65">
        <f t="shared" si="3"/>
        <v>99892.84999999998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3451.51</v>
      </c>
      <c r="D13" s="64">
        <v>0</v>
      </c>
      <c r="E13" s="64">
        <v>0</v>
      </c>
      <c r="F13" s="64">
        <f>-300</f>
        <v>-300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68081.57</v>
      </c>
      <c r="D14" s="67">
        <f>61641.03</f>
        <v>61641.03</v>
      </c>
      <c r="E14" s="67">
        <v>0</v>
      </c>
      <c r="F14" s="67">
        <f>-79335.13</f>
        <v>-79335.13</v>
      </c>
      <c r="G14" s="66">
        <f t="shared" si="0"/>
        <v>50387.47</v>
      </c>
      <c r="H14" s="66">
        <f t="shared" si="1"/>
        <v>50387.47</v>
      </c>
      <c r="I14" s="66"/>
      <c r="J14" s="66">
        <f t="shared" si="3"/>
        <v>50387.47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29261.47</v>
      </c>
      <c r="D15" s="67">
        <f>1023+258+1165+10</f>
        <v>2456</v>
      </c>
      <c r="E15" s="67">
        <v>0</v>
      </c>
      <c r="F15" s="67">
        <v>0</v>
      </c>
      <c r="G15" s="66">
        <f t="shared" si="0"/>
        <v>31717.47</v>
      </c>
      <c r="H15" s="68">
        <f>+G15</f>
        <v>31717.47</v>
      </c>
      <c r="I15" s="66"/>
      <c r="J15" s="68">
        <f t="shared" si="3"/>
        <v>31717.47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6348785.41</v>
      </c>
      <c r="D16" s="69">
        <f t="shared" si="4"/>
        <v>10787028.799999999</v>
      </c>
      <c r="E16" s="69">
        <f t="shared" si="4"/>
        <v>27187.600000000002</v>
      </c>
      <c r="F16" s="69">
        <f t="shared" si="4"/>
        <v>-10846420.89</v>
      </c>
      <c r="G16" s="69">
        <f t="shared" si="4"/>
        <v>6316580.919999998</v>
      </c>
      <c r="H16" s="69">
        <f t="shared" si="4"/>
        <v>6316580.919999998</v>
      </c>
      <c r="I16" s="66"/>
      <c r="J16" s="68">
        <f>SUM(J5:J15)</f>
        <v>4669858.819999998</v>
      </c>
      <c r="K16" s="68">
        <f>SUM(K5:K15)</f>
        <v>1646722.0999999999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5.0021%</f>
        <v>0.050021</v>
      </c>
      <c r="C18" s="64">
        <v>327782.63</v>
      </c>
      <c r="D18" s="64">
        <v>0</v>
      </c>
      <c r="E18" s="64">
        <f>1347.61</f>
        <v>1347.61</v>
      </c>
      <c r="F18" s="64">
        <v>0</v>
      </c>
      <c r="G18" s="65">
        <f aca="true" t="shared" si="5" ref="G18:G23">SUM(C18:F18)</f>
        <v>329130.24</v>
      </c>
      <c r="H18" s="65">
        <f aca="true" t="shared" si="6" ref="H18:H23">G18</f>
        <v>329130.24</v>
      </c>
      <c r="I18" s="66"/>
      <c r="J18" s="65">
        <v>0</v>
      </c>
      <c r="K18" s="65">
        <f>H18</f>
        <v>329130.24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5.0021%</f>
        <v>0.050021</v>
      </c>
      <c r="C19" s="64">
        <f>246905.78+227580.39</f>
        <v>474486.17000000004</v>
      </c>
      <c r="D19" s="64">
        <v>0</v>
      </c>
      <c r="E19" s="64">
        <f>1015.11+935.65</f>
        <v>1950.76</v>
      </c>
      <c r="F19" s="64">
        <v>0</v>
      </c>
      <c r="G19" s="65">
        <f t="shared" si="5"/>
        <v>476436.93000000005</v>
      </c>
      <c r="H19" s="65">
        <f t="shared" si="6"/>
        <v>476436.93000000005</v>
      </c>
      <c r="I19" s="66"/>
      <c r="J19" s="65">
        <f>H19-K19</f>
        <v>444372.93000000005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4.94%</f>
        <v>0.049400000000000006</v>
      </c>
      <c r="C21" s="64">
        <v>893048.81</v>
      </c>
      <c r="D21" s="64">
        <v>0</v>
      </c>
      <c r="E21" s="64">
        <f>3626.34</f>
        <v>3626.34</v>
      </c>
      <c r="F21" s="64">
        <v>0</v>
      </c>
      <c r="G21" s="65">
        <f t="shared" si="5"/>
        <v>896675.15</v>
      </c>
      <c r="H21" s="65">
        <f t="shared" si="6"/>
        <v>896675.15</v>
      </c>
      <c r="I21" s="66"/>
      <c r="J21" s="65">
        <f>H21-K21</f>
        <v>896675.15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4.94%</f>
        <v>0.049400000000000006</v>
      </c>
      <c r="C22" s="64">
        <v>4684980.06</v>
      </c>
      <c r="D22" s="64">
        <v>0</v>
      </c>
      <c r="E22" s="64">
        <f>19023.95</f>
        <v>19023.95</v>
      </c>
      <c r="F22" s="64">
        <v>0</v>
      </c>
      <c r="G22" s="65">
        <f t="shared" si="5"/>
        <v>4704004.01</v>
      </c>
      <c r="H22" s="65">
        <f t="shared" si="6"/>
        <v>4704004.01</v>
      </c>
      <c r="I22" s="66"/>
      <c r="J22" s="65">
        <f>H22-K22</f>
        <v>0</v>
      </c>
      <c r="K22" s="65">
        <f>+G22</f>
        <v>4704004.01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0.050063</f>
        <v>0.050063</v>
      </c>
      <c r="C23" s="70">
        <f>2053886.85+58691.65</f>
        <v>2112578.5</v>
      </c>
      <c r="D23" s="70">
        <v>0</v>
      </c>
      <c r="E23" s="70">
        <f>241.5+8451.35</f>
        <v>8692.85</v>
      </c>
      <c r="F23" s="70">
        <v>0</v>
      </c>
      <c r="G23" s="68">
        <f t="shared" si="5"/>
        <v>2121271.35</v>
      </c>
      <c r="H23" s="68">
        <f t="shared" si="6"/>
        <v>2121271.35</v>
      </c>
      <c r="I23" s="66"/>
      <c r="J23" s="68">
        <f>H23-K23</f>
        <v>2062338.2000000002</v>
      </c>
      <c r="K23" s="68">
        <f>58933.15</f>
        <v>58933.15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8492876.17</v>
      </c>
      <c r="D24" s="70">
        <f t="shared" si="7"/>
        <v>0</v>
      </c>
      <c r="E24" s="70">
        <f t="shared" si="7"/>
        <v>34641.51</v>
      </c>
      <c r="F24" s="70">
        <f t="shared" si="7"/>
        <v>0</v>
      </c>
      <c r="G24" s="68">
        <f t="shared" si="7"/>
        <v>8527517.68</v>
      </c>
      <c r="H24" s="68">
        <f t="shared" si="7"/>
        <v>8527517.68</v>
      </c>
      <c r="I24" s="66"/>
      <c r="J24" s="68">
        <f>SUM(J18:J23)</f>
        <v>3403386.2800000003</v>
      </c>
      <c r="K24" s="68">
        <f>SUM(K18:K23)</f>
        <v>5124131.4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2022648.8900000001</v>
      </c>
      <c r="H26" s="66">
        <f>1924380+22648.89</f>
        <v>1947028.89</v>
      </c>
      <c r="I26" s="66"/>
      <c r="J26" s="66">
        <v>0</v>
      </c>
      <c r="K26" s="66">
        <f aca="true" t="shared" si="9" ref="K26:K32">G26</f>
        <v>2022648.8900000001</v>
      </c>
      <c r="L26" s="2" t="s">
        <v>38</v>
      </c>
      <c r="M26" s="2" t="s">
        <v>61</v>
      </c>
      <c r="N26" s="79">
        <f aca="true" t="shared" si="10" ref="N26:N31">+G26-H26</f>
        <v>75620.00000000023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8"/>
        <v>482728</v>
      </c>
      <c r="H27" s="66">
        <f>467251.2+2728</f>
        <v>469979.2</v>
      </c>
      <c r="I27" s="66"/>
      <c r="J27" s="66">
        <v>0</v>
      </c>
      <c r="K27" s="66">
        <f t="shared" si="9"/>
        <v>482728</v>
      </c>
      <c r="L27" s="2" t="s">
        <v>39</v>
      </c>
      <c r="M27" s="2" t="s">
        <v>61</v>
      </c>
      <c r="N27" s="79">
        <f t="shared" si="10"/>
        <v>12748.799999999988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1003500</v>
      </c>
      <c r="D28" s="67">
        <v>0</v>
      </c>
      <c r="E28" s="67">
        <f>2500</f>
        <v>2500</v>
      </c>
      <c r="F28" s="67">
        <v>0</v>
      </c>
      <c r="G28" s="66">
        <f t="shared" si="8"/>
        <v>1006000</v>
      </c>
      <c r="H28" s="66">
        <f>980630+6000</f>
        <v>986630</v>
      </c>
      <c r="I28" s="66"/>
      <c r="J28" s="66">
        <v>0</v>
      </c>
      <c r="K28" s="66">
        <f t="shared" si="9"/>
        <v>1006000</v>
      </c>
      <c r="L28" s="2" t="s">
        <v>41</v>
      </c>
      <c r="M28" s="2" t="s">
        <v>61</v>
      </c>
      <c r="N28" s="79">
        <f t="shared" si="10"/>
        <v>19370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1538.33</v>
      </c>
      <c r="F29" s="67">
        <v>0</v>
      </c>
      <c r="G29" s="66">
        <f t="shared" si="8"/>
        <v>522769</v>
      </c>
      <c r="H29" s="66">
        <f>506838.8+2769</f>
        <v>509607.8</v>
      </c>
      <c r="I29" s="66"/>
      <c r="J29" s="66">
        <v>0</v>
      </c>
      <c r="K29" s="66">
        <f t="shared" si="9"/>
        <v>522769</v>
      </c>
      <c r="L29" s="2" t="s">
        <v>46</v>
      </c>
      <c r="M29" s="2" t="s">
        <v>61</v>
      </c>
      <c r="N29" s="79">
        <f t="shared" si="10"/>
        <v>13161.200000000012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8"/>
        <v>1004660.83</v>
      </c>
      <c r="H30" s="66">
        <f>970630+4660.83</f>
        <v>975290.83</v>
      </c>
      <c r="I30" s="66"/>
      <c r="J30" s="66">
        <v>0</v>
      </c>
      <c r="K30" s="66">
        <f t="shared" si="9"/>
        <v>1004660.83</v>
      </c>
      <c r="L30" s="2" t="s">
        <v>47</v>
      </c>
      <c r="M30" s="2" t="s">
        <v>61</v>
      </c>
      <c r="N30" s="79">
        <f t="shared" si="10"/>
        <v>29370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1008541.67</v>
      </c>
      <c r="D31" s="67">
        <v>0</v>
      </c>
      <c r="E31" s="67">
        <f>4270.83</f>
        <v>4270.83</v>
      </c>
      <c r="F31" s="67">
        <v>0</v>
      </c>
      <c r="G31" s="66">
        <f t="shared" si="8"/>
        <v>1012812.5</v>
      </c>
      <c r="H31" s="66">
        <f>994760+12812.5</f>
        <v>1007572.5</v>
      </c>
      <c r="I31" s="66"/>
      <c r="J31" s="66">
        <v>0</v>
      </c>
      <c r="K31" s="66">
        <f t="shared" si="9"/>
        <v>1012812.5</v>
      </c>
      <c r="L31" s="2" t="s">
        <v>83</v>
      </c>
      <c r="M31" s="2" t="s">
        <v>61</v>
      </c>
      <c r="N31" s="79">
        <f t="shared" si="10"/>
        <v>5240</v>
      </c>
      <c r="O31" s="2" t="s">
        <v>61</v>
      </c>
    </row>
    <row r="32" spans="1:13" s="2" customFormat="1" ht="15" customHeight="1">
      <c r="A32" s="13" t="s">
        <v>52</v>
      </c>
      <c r="B32" s="14">
        <v>0.0272</v>
      </c>
      <c r="C32" s="70">
        <v>3013.04</v>
      </c>
      <c r="D32" s="70">
        <v>0</v>
      </c>
      <c r="E32" s="70">
        <v>7.36</v>
      </c>
      <c r="F32" s="70">
        <v>0</v>
      </c>
      <c r="G32" s="68">
        <f t="shared" si="8"/>
        <v>3020.4</v>
      </c>
      <c r="H32" s="68">
        <f>+G32</f>
        <v>3020.4</v>
      </c>
      <c r="I32" s="66"/>
      <c r="J32" s="68">
        <v>0</v>
      </c>
      <c r="K32" s="68">
        <f t="shared" si="9"/>
        <v>3020.4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6035050.77</v>
      </c>
      <c r="D33" s="71">
        <f t="shared" si="11"/>
        <v>0</v>
      </c>
      <c r="E33" s="71">
        <f t="shared" si="11"/>
        <v>19588.85</v>
      </c>
      <c r="F33" s="71">
        <f t="shared" si="11"/>
        <v>0</v>
      </c>
      <c r="G33" s="72">
        <f t="shared" si="11"/>
        <v>6054639.62</v>
      </c>
      <c r="H33" s="72">
        <f t="shared" si="11"/>
        <v>5899129.62</v>
      </c>
      <c r="I33" s="73"/>
      <c r="J33" s="72">
        <f>SUM(J26:J26)</f>
        <v>0</v>
      </c>
      <c r="K33" s="72">
        <f>SUM(K26:K32)</f>
        <v>6054639.62</v>
      </c>
      <c r="L33" s="2"/>
      <c r="M33" s="2"/>
      <c r="N33" s="15">
        <f>SUM(N26:N32)</f>
        <v>155510.00000000023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20876712.35</v>
      </c>
      <c r="D35" s="77">
        <f t="shared" si="12"/>
        <v>10787028.799999999</v>
      </c>
      <c r="E35" s="77">
        <f t="shared" si="12"/>
        <v>81417.96</v>
      </c>
      <c r="F35" s="77">
        <f t="shared" si="12"/>
        <v>-10846420.89</v>
      </c>
      <c r="G35" s="78">
        <f t="shared" si="12"/>
        <v>20898738.22</v>
      </c>
      <c r="H35" s="78">
        <f t="shared" si="12"/>
        <v>20743228.22</v>
      </c>
      <c r="I35" s="73"/>
      <c r="J35" s="78">
        <f>SUM(J33,J24,J16)</f>
        <v>8073245.099999999</v>
      </c>
      <c r="K35" s="78">
        <f>SUM(K33,K24,K16)</f>
        <v>12825493.12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92</v>
      </c>
      <c r="D37" s="40" t="s">
        <v>86</v>
      </c>
      <c r="E37" s="40" t="s">
        <v>93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0.0511</f>
        <v>0.0511</v>
      </c>
      <c r="D38" s="18">
        <f>4.84%</f>
        <v>0.0484</v>
      </c>
      <c r="E38" s="18">
        <f>3.22%</f>
        <v>0.0322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JUNE 30, 2006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151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5" sqref="H3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92</v>
      </c>
      <c r="D3" s="29" t="s">
        <v>10</v>
      </c>
      <c r="E3" s="29" t="s">
        <v>54</v>
      </c>
      <c r="F3" s="29" t="s">
        <v>11</v>
      </c>
      <c r="G3" s="41" t="s">
        <v>94</v>
      </c>
      <c r="H3" s="41" t="s">
        <v>94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5.14%</f>
        <v>0.051399999999999994</v>
      </c>
      <c r="C5" s="64">
        <f>2537681.53</f>
        <v>2537681.53</v>
      </c>
      <c r="D5" s="64">
        <f>4099055.62</f>
        <v>4099055.62</v>
      </c>
      <c r="E5" s="64">
        <f>9926.73</f>
        <v>9926.73</v>
      </c>
      <c r="F5" s="64">
        <f>-3844215.39</f>
        <v>-3844215.39</v>
      </c>
      <c r="G5" s="65">
        <f aca="true" t="shared" si="0" ref="G5:G15">SUM(C5:F5)</f>
        <v>2802448.4900000007</v>
      </c>
      <c r="H5" s="65">
        <f aca="true" t="shared" si="1" ref="H5:H14">G5</f>
        <v>2802448.4900000007</v>
      </c>
      <c r="I5" s="66"/>
      <c r="J5" s="65">
        <f>H5-K5</f>
        <v>2802448.4900000007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5.14%</f>
        <v>0.051399999999999994</v>
      </c>
      <c r="C6" s="64">
        <f>1048430.54</f>
        <v>1048430.54</v>
      </c>
      <c r="D6" s="64">
        <f>281814.42</f>
        <v>281814.42</v>
      </c>
      <c r="E6" s="64">
        <f>4806.63</f>
        <v>4806.63</v>
      </c>
      <c r="F6" s="64">
        <f>-59237.63</f>
        <v>-59237.63</v>
      </c>
      <c r="G6" s="65">
        <f t="shared" si="0"/>
        <v>1275813.96</v>
      </c>
      <c r="H6" s="65">
        <f t="shared" si="1"/>
        <v>1275813.96</v>
      </c>
      <c r="I6" s="66"/>
      <c r="J6" s="65">
        <f>H6</f>
        <v>1275813.96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5.14%</f>
        <v>0.051399999999999994</v>
      </c>
      <c r="C7" s="64">
        <f>860465.45</f>
        <v>860465.45</v>
      </c>
      <c r="D7" s="64">
        <f>1825646.01</f>
        <v>1825646.01</v>
      </c>
      <c r="E7" s="64">
        <f>3363.33</f>
        <v>3363.33</v>
      </c>
      <c r="F7" s="64">
        <f>-1781550.56</f>
        <v>-1781550.56</v>
      </c>
      <c r="G7" s="65">
        <f t="shared" si="0"/>
        <v>907924.23</v>
      </c>
      <c r="H7" s="65">
        <f t="shared" si="1"/>
        <v>907924.23</v>
      </c>
      <c r="I7" s="66"/>
      <c r="J7" s="65">
        <f>H7</f>
        <v>907924.23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5.14%</f>
        <v>0.051399999999999994</v>
      </c>
      <c r="C8" s="64">
        <f>10614.82</f>
        <v>10614.82</v>
      </c>
      <c r="D8" s="64">
        <f>2016338.22</f>
        <v>2016338.22</v>
      </c>
      <c r="E8" s="64">
        <f>595.56</f>
        <v>595.56</v>
      </c>
      <c r="F8" s="64">
        <f>-2014995.11</f>
        <v>-2014995.11</v>
      </c>
      <c r="G8" s="65">
        <f t="shared" si="0"/>
        <v>12553.48999999999</v>
      </c>
      <c r="H8" s="65">
        <f t="shared" si="1"/>
        <v>12553.48999999999</v>
      </c>
      <c r="I8" s="66"/>
      <c r="J8" s="65">
        <f>H8</f>
        <v>12553.48999999999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5.14%</f>
        <v>0.051399999999999994</v>
      </c>
      <c r="C9" s="64">
        <f>1646722.1</f>
        <v>1646722.1</v>
      </c>
      <c r="D9" s="64">
        <v>0</v>
      </c>
      <c r="E9" s="64">
        <f>6567.94</f>
        <v>6567.94</v>
      </c>
      <c r="F9" s="64">
        <v>0</v>
      </c>
      <c r="G9" s="65">
        <f t="shared" si="0"/>
        <v>1653290.04</v>
      </c>
      <c r="H9" s="65">
        <f t="shared" si="1"/>
        <v>1653290.04</v>
      </c>
      <c r="I9" s="66"/>
      <c r="J9" s="65">
        <v>0</v>
      </c>
      <c r="K9" s="65">
        <f>+H9</f>
        <v>1653290.04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2517.18</f>
        <v>2517.18</v>
      </c>
      <c r="D10" s="64">
        <f>2500</f>
        <v>2500</v>
      </c>
      <c r="E10" s="64">
        <v>0</v>
      </c>
      <c r="F10" s="64">
        <f>-2867.39</f>
        <v>-2867.39</v>
      </c>
      <c r="G10" s="65">
        <f t="shared" si="0"/>
        <v>2149.7900000000004</v>
      </c>
      <c r="H10" s="65">
        <f t="shared" si="1"/>
        <v>2149.7900000000004</v>
      </c>
      <c r="I10" s="66"/>
      <c r="J10" s="65">
        <f aca="true" t="shared" si="3" ref="J10:J15">H10</f>
        <v>2149.7900000000004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946797.06</f>
        <v>946797.06</v>
      </c>
      <c r="E11" s="64">
        <v>0</v>
      </c>
      <c r="F11" s="64">
        <f>-946797.06</f>
        <v>-946797.06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99892.85</f>
        <v>99892.85</v>
      </c>
      <c r="D12" s="64">
        <f>439950.39</f>
        <v>439950.39</v>
      </c>
      <c r="E12" s="64">
        <v>0</v>
      </c>
      <c r="F12" s="64">
        <f>-478903.39</f>
        <v>-478903.39</v>
      </c>
      <c r="G12" s="65">
        <f t="shared" si="0"/>
        <v>60939.84999999998</v>
      </c>
      <c r="H12" s="65">
        <f t="shared" si="1"/>
        <v>60939.84999999998</v>
      </c>
      <c r="I12" s="66"/>
      <c r="J12" s="65">
        <f t="shared" si="3"/>
        <v>60939.84999999998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3151.51</f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50387.47</f>
        <v>50387.47</v>
      </c>
      <c r="D14" s="67">
        <f>25539.65</f>
        <v>25539.65</v>
      </c>
      <c r="E14" s="67">
        <v>0</v>
      </c>
      <c r="F14" s="67">
        <f>-50267.67</f>
        <v>-50267.67</v>
      </c>
      <c r="G14" s="66">
        <f t="shared" si="0"/>
        <v>25659.449999999997</v>
      </c>
      <c r="H14" s="66">
        <f t="shared" si="1"/>
        <v>25659.449999999997</v>
      </c>
      <c r="I14" s="66"/>
      <c r="J14" s="66">
        <f t="shared" si="3"/>
        <v>25659.449999999997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31717.47</f>
        <v>31717.47</v>
      </c>
      <c r="D15" s="67">
        <f>783+663+1942</f>
        <v>3388</v>
      </c>
      <c r="E15" s="67">
        <v>0</v>
      </c>
      <c r="F15" s="67">
        <f>-20000</f>
        <v>-20000</v>
      </c>
      <c r="G15" s="66">
        <f t="shared" si="0"/>
        <v>15105.470000000001</v>
      </c>
      <c r="H15" s="68">
        <f>+G15</f>
        <v>15105.470000000001</v>
      </c>
      <c r="I15" s="66"/>
      <c r="J15" s="68">
        <f t="shared" si="3"/>
        <v>15105.470000000001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6316580.919999998</v>
      </c>
      <c r="D16" s="69">
        <f t="shared" si="4"/>
        <v>9641029.370000001</v>
      </c>
      <c r="E16" s="69">
        <f t="shared" si="4"/>
        <v>25260.190000000002</v>
      </c>
      <c r="F16" s="69">
        <f t="shared" si="4"/>
        <v>-9198834.200000001</v>
      </c>
      <c r="G16" s="69">
        <f t="shared" si="4"/>
        <v>6784036.28</v>
      </c>
      <c r="H16" s="69">
        <f t="shared" si="4"/>
        <v>6784036.28</v>
      </c>
      <c r="I16" s="66"/>
      <c r="J16" s="68">
        <f>SUM(J5:J15)</f>
        <v>5130746.24</v>
      </c>
      <c r="K16" s="68">
        <f>SUM(K5:K15)</f>
        <v>1653290.04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5.2258%</f>
        <v>0.052258</v>
      </c>
      <c r="C18" s="64">
        <f>329130.24</f>
        <v>329130.24</v>
      </c>
      <c r="D18" s="64">
        <v>0</v>
      </c>
      <c r="E18" s="64">
        <v>1460.81</v>
      </c>
      <c r="F18" s="64">
        <v>0</v>
      </c>
      <c r="G18" s="65">
        <f aca="true" t="shared" si="5" ref="G18:G23">SUM(C18:F18)</f>
        <v>330591.05</v>
      </c>
      <c r="H18" s="65">
        <f aca="true" t="shared" si="6" ref="H18:H23">G18</f>
        <v>330591.05</v>
      </c>
      <c r="I18" s="66"/>
      <c r="J18" s="65">
        <v>0</v>
      </c>
      <c r="K18" s="65">
        <f>H18</f>
        <v>330591.05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5.2258%</f>
        <v>0.052258</v>
      </c>
      <c r="C19" s="64">
        <f>476436.93</f>
        <v>476436.93</v>
      </c>
      <c r="D19" s="64">
        <v>0</v>
      </c>
      <c r="E19" s="64">
        <f>1100.37+1014.24</f>
        <v>2114.6099999999997</v>
      </c>
      <c r="F19" s="64">
        <v>0</v>
      </c>
      <c r="G19" s="65">
        <f t="shared" si="5"/>
        <v>478551.54</v>
      </c>
      <c r="H19" s="65">
        <f t="shared" si="6"/>
        <v>478551.54</v>
      </c>
      <c r="I19" s="66"/>
      <c r="J19" s="65">
        <f>H19-K19</f>
        <v>446487.54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5.11%</f>
        <v>0.051100000000000007</v>
      </c>
      <c r="C21" s="64">
        <f>896675.15</f>
        <v>896675.15</v>
      </c>
      <c r="D21" s="64">
        <v>0</v>
      </c>
      <c r="E21" s="64">
        <f>3894.3</f>
        <v>3894.3</v>
      </c>
      <c r="F21" s="64">
        <v>0</v>
      </c>
      <c r="G21" s="65">
        <f t="shared" si="5"/>
        <v>900569.4500000001</v>
      </c>
      <c r="H21" s="65">
        <f t="shared" si="6"/>
        <v>900569.4500000001</v>
      </c>
      <c r="I21" s="66"/>
      <c r="J21" s="65">
        <f>H21-K21</f>
        <v>900569.4500000001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5.11%</f>
        <v>0.051100000000000007</v>
      </c>
      <c r="C22" s="64">
        <f>4704004.01</f>
        <v>4704004.01</v>
      </c>
      <c r="D22" s="64">
        <v>0</v>
      </c>
      <c r="E22" s="64">
        <f>20429.71</f>
        <v>20429.71</v>
      </c>
      <c r="F22" s="64">
        <v>0</v>
      </c>
      <c r="G22" s="65">
        <f t="shared" si="5"/>
        <v>4724433.72</v>
      </c>
      <c r="H22" s="65">
        <f t="shared" si="6"/>
        <v>4724433.72</v>
      </c>
      <c r="I22" s="66"/>
      <c r="J22" s="65">
        <f>H22-K22</f>
        <v>0</v>
      </c>
      <c r="K22" s="65">
        <f>+G22</f>
        <v>4724433.72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0.052609</f>
        <v>0.052609</v>
      </c>
      <c r="C23" s="70">
        <f>2121271.35</f>
        <v>2121271.35</v>
      </c>
      <c r="D23" s="70">
        <v>0</v>
      </c>
      <c r="E23" s="70">
        <f>263.32+9214.94</f>
        <v>9478.26</v>
      </c>
      <c r="F23" s="70">
        <v>0</v>
      </c>
      <c r="G23" s="68">
        <f t="shared" si="5"/>
        <v>2130749.61</v>
      </c>
      <c r="H23" s="68">
        <f t="shared" si="6"/>
        <v>2130749.61</v>
      </c>
      <c r="I23" s="66"/>
      <c r="J23" s="68">
        <f>H23-K23</f>
        <v>2071553.14</v>
      </c>
      <c r="K23" s="68">
        <f>59196.47</f>
        <v>59196.47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8527517.68</v>
      </c>
      <c r="D24" s="70">
        <f t="shared" si="7"/>
        <v>0</v>
      </c>
      <c r="E24" s="70">
        <f t="shared" si="7"/>
        <v>37377.69</v>
      </c>
      <c r="F24" s="70">
        <f t="shared" si="7"/>
        <v>0</v>
      </c>
      <c r="G24" s="68">
        <f t="shared" si="7"/>
        <v>8564895.37</v>
      </c>
      <c r="H24" s="68">
        <f t="shared" si="7"/>
        <v>8564895.37</v>
      </c>
      <c r="I24" s="66"/>
      <c r="J24" s="68">
        <f>SUM(J18:J23)</f>
        <v>3418610.13</v>
      </c>
      <c r="K24" s="68">
        <f>SUM(K18:K23)</f>
        <v>5146285.239999999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2022648.89</f>
        <v>2022648.89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2">SUM(C26:F26)</f>
        <v>2029582.22</v>
      </c>
      <c r="H26" s="66">
        <f>1938120+29582.22</f>
        <v>1967702.22</v>
      </c>
      <c r="I26" s="66"/>
      <c r="J26" s="66">
        <v>0</v>
      </c>
      <c r="K26" s="66">
        <f aca="true" t="shared" si="9" ref="K26:K32">G26</f>
        <v>2029582.22</v>
      </c>
      <c r="L26" s="2" t="s">
        <v>38</v>
      </c>
      <c r="M26" s="2" t="s">
        <v>61</v>
      </c>
      <c r="N26" s="79">
        <f aca="true" t="shared" si="10" ref="N26:N31">+G26-H26</f>
        <v>61880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468902.4+4092</f>
        <v>472994.4</v>
      </c>
      <c r="I27" s="66"/>
      <c r="J27" s="66">
        <v>0</v>
      </c>
      <c r="K27" s="66">
        <f t="shared" si="9"/>
        <v>484092</v>
      </c>
      <c r="L27" s="2" t="s">
        <v>39</v>
      </c>
      <c r="M27" s="2" t="s">
        <v>61</v>
      </c>
      <c r="N27" s="79">
        <f t="shared" si="10"/>
        <v>11097.599999999977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988750+8500</f>
        <v>997250</v>
      </c>
      <c r="I28" s="66"/>
      <c r="J28" s="66">
        <v>0</v>
      </c>
      <c r="K28" s="66">
        <f t="shared" si="9"/>
        <v>1008500</v>
      </c>
      <c r="L28" s="2" t="s">
        <v>41</v>
      </c>
      <c r="M28" s="2" t="s">
        <v>61</v>
      </c>
      <c r="N28" s="79">
        <f t="shared" si="10"/>
        <v>11250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522769</f>
        <v>522769</v>
      </c>
      <c r="D29" s="67">
        <v>0</v>
      </c>
      <c r="E29" s="67">
        <v>1538.33</v>
      </c>
      <c r="F29" s="67">
        <v>0</v>
      </c>
      <c r="G29" s="66">
        <f t="shared" si="8"/>
        <v>524307.33</v>
      </c>
      <c r="H29" s="66">
        <f>508627.6+4307.33</f>
        <v>512934.93</v>
      </c>
      <c r="I29" s="66"/>
      <c r="J29" s="66">
        <v>0</v>
      </c>
      <c r="K29" s="66">
        <f t="shared" si="9"/>
        <v>524307.33</v>
      </c>
      <c r="L29" s="2" t="s">
        <v>46</v>
      </c>
      <c r="M29" s="2" t="s">
        <v>61</v>
      </c>
      <c r="N29" s="79">
        <f t="shared" si="10"/>
        <v>11372.399999999965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974690+7635.83</f>
        <v>982325.83</v>
      </c>
      <c r="I30" s="66"/>
      <c r="J30" s="66">
        <v>0</v>
      </c>
      <c r="K30" s="66">
        <f t="shared" si="9"/>
        <v>1007635.83</v>
      </c>
      <c r="L30" s="2" t="s">
        <v>47</v>
      </c>
      <c r="M30" s="2" t="s">
        <v>61</v>
      </c>
      <c r="N30" s="79">
        <f t="shared" si="10"/>
        <v>25310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f>1012812.5</f>
        <v>1012812.5</v>
      </c>
      <c r="D31" s="67">
        <v>0</v>
      </c>
      <c r="E31" s="67">
        <f>4270.83</f>
        <v>4270.83</v>
      </c>
      <c r="F31" s="67">
        <v>0</v>
      </c>
      <c r="G31" s="66">
        <f t="shared" si="8"/>
        <v>1017083.33</v>
      </c>
      <c r="H31" s="66">
        <f>996380+17083.33</f>
        <v>1013463.33</v>
      </c>
      <c r="I31" s="66"/>
      <c r="J31" s="66">
        <v>0</v>
      </c>
      <c r="K31" s="66">
        <f t="shared" si="9"/>
        <v>1017083.33</v>
      </c>
      <c r="L31" s="2" t="s">
        <v>83</v>
      </c>
      <c r="M31" s="2" t="s">
        <v>61</v>
      </c>
      <c r="N31" s="79">
        <f t="shared" si="10"/>
        <v>3620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70">
        <f>3020.4</f>
        <v>3020.4</v>
      </c>
      <c r="D32" s="70">
        <v>0</v>
      </c>
      <c r="E32" s="70">
        <f>6.64</f>
        <v>6.64</v>
      </c>
      <c r="F32" s="70">
        <v>0</v>
      </c>
      <c r="G32" s="68">
        <f t="shared" si="8"/>
        <v>3027.04</v>
      </c>
      <c r="H32" s="68">
        <f>+G32</f>
        <v>3027.04</v>
      </c>
      <c r="I32" s="66"/>
      <c r="J32" s="68">
        <v>0</v>
      </c>
      <c r="K32" s="68">
        <f t="shared" si="9"/>
        <v>3027.04</v>
      </c>
      <c r="L32" s="2" t="s">
        <v>53</v>
      </c>
      <c r="M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6054639.62</v>
      </c>
      <c r="D33" s="71">
        <f t="shared" si="11"/>
        <v>0</v>
      </c>
      <c r="E33" s="71">
        <f t="shared" si="11"/>
        <v>19588.129999999997</v>
      </c>
      <c r="F33" s="71">
        <f t="shared" si="11"/>
        <v>0</v>
      </c>
      <c r="G33" s="72">
        <f t="shared" si="11"/>
        <v>6074227.75</v>
      </c>
      <c r="H33" s="72">
        <f t="shared" si="11"/>
        <v>5949697.75</v>
      </c>
      <c r="I33" s="73"/>
      <c r="J33" s="72">
        <f>SUM(J26:J26)</f>
        <v>0</v>
      </c>
      <c r="K33" s="72">
        <f>SUM(K26:K32)</f>
        <v>6074227.75</v>
      </c>
      <c r="L33" s="2"/>
      <c r="M33" s="2"/>
      <c r="N33" s="15">
        <f>SUM(N26:N32)</f>
        <v>124529.99999999994</v>
      </c>
      <c r="O33" s="2"/>
    </row>
    <row r="34" spans="1:14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  <c r="N34" s="1">
        <f>6000000-5844490</f>
        <v>155510</v>
      </c>
    </row>
    <row r="35" spans="1:13" ht="15" customHeight="1" thickBot="1">
      <c r="A35" s="8" t="s">
        <v>16</v>
      </c>
      <c r="B35" s="8"/>
      <c r="C35" s="77">
        <f aca="true" t="shared" si="12" ref="C35:H35">SUM(C33,C24,C16)</f>
        <v>20898738.22</v>
      </c>
      <c r="D35" s="77">
        <f t="shared" si="12"/>
        <v>9641029.370000001</v>
      </c>
      <c r="E35" s="77">
        <f t="shared" si="12"/>
        <v>82226.01000000001</v>
      </c>
      <c r="F35" s="77">
        <f t="shared" si="12"/>
        <v>-9198834.200000001</v>
      </c>
      <c r="G35" s="78">
        <f t="shared" si="12"/>
        <v>21423159.4</v>
      </c>
      <c r="H35" s="78">
        <f t="shared" si="12"/>
        <v>21298629.4</v>
      </c>
      <c r="I35" s="73"/>
      <c r="J35" s="78">
        <f>SUM(J33,J24,J16)</f>
        <v>8549356.370000001</v>
      </c>
      <c r="K35" s="78">
        <f>SUM(K33,K24,K16)</f>
        <v>12873803.029999997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94</v>
      </c>
      <c r="D37" s="40" t="s">
        <v>92</v>
      </c>
      <c r="E37" s="40" t="s">
        <v>59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0.04975</f>
        <v>0.04975</v>
      </c>
      <c r="D38" s="18">
        <f>5.11%</f>
        <v>0.051100000000000007</v>
      </c>
      <c r="E38" s="18">
        <f>3.6%</f>
        <v>0.036000000000000004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8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JULY 31, 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152">
    <pageSetUpPr fitToPage="1"/>
  </sheetPr>
  <dimension ref="A1:O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94</v>
      </c>
      <c r="D3" s="29" t="s">
        <v>10</v>
      </c>
      <c r="E3" s="29" t="s">
        <v>54</v>
      </c>
      <c r="F3" s="29" t="s">
        <v>11</v>
      </c>
      <c r="G3" s="41" t="s">
        <v>95</v>
      </c>
      <c r="H3" s="41" t="s">
        <v>95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2802448.49</v>
      </c>
      <c r="D5" s="64">
        <f>10713004.72</f>
        <v>10713004.72</v>
      </c>
      <c r="E5" s="64">
        <f>13359.39</f>
        <v>13359.39</v>
      </c>
      <c r="F5" s="64">
        <f>-10959511.71</f>
        <v>-10959511.71</v>
      </c>
      <c r="G5" s="65">
        <f aca="true" t="shared" si="0" ref="G5:G15">SUM(C5:F5)</f>
        <v>2569300.8900000006</v>
      </c>
      <c r="H5" s="65">
        <f aca="true" t="shared" si="1" ref="H5:H14">G5</f>
        <v>2569300.8900000006</v>
      </c>
      <c r="I5" s="66"/>
      <c r="J5" s="65">
        <f>H5-K5</f>
        <v>2569300.8900000006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1275813.96</v>
      </c>
      <c r="D6" s="64">
        <f>23082.14</f>
        <v>23082.14</v>
      </c>
      <c r="E6" s="64">
        <f>5554.58</f>
        <v>5554.58</v>
      </c>
      <c r="F6" s="64">
        <f>-15169</f>
        <v>-15169</v>
      </c>
      <c r="G6" s="65">
        <f t="shared" si="0"/>
        <v>1289281.68</v>
      </c>
      <c r="H6" s="65">
        <f t="shared" si="1"/>
        <v>1289281.68</v>
      </c>
      <c r="I6" s="66"/>
      <c r="J6" s="65">
        <f>H6</f>
        <v>1289281.68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907924.23</v>
      </c>
      <c r="D7" s="64">
        <f>1136940.97</f>
        <v>1136940.97</v>
      </c>
      <c r="E7" s="64">
        <f>3338.81</f>
        <v>3338.81</v>
      </c>
      <c r="F7" s="64">
        <f>-1436609.74</f>
        <v>-1436609.74</v>
      </c>
      <c r="G7" s="65">
        <f t="shared" si="0"/>
        <v>611594.27</v>
      </c>
      <c r="H7" s="65">
        <f t="shared" si="1"/>
        <v>611594.27</v>
      </c>
      <c r="I7" s="66"/>
      <c r="J7" s="65">
        <f>H7</f>
        <v>611594.27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12553.49</v>
      </c>
      <c r="D8" s="64">
        <f>2858681.27</f>
        <v>2858681.27</v>
      </c>
      <c r="E8" s="64">
        <f>426.86</f>
        <v>426.86</v>
      </c>
      <c r="F8" s="64">
        <f>-2763120.25</f>
        <v>-2763120.25</v>
      </c>
      <c r="G8" s="65">
        <f t="shared" si="0"/>
        <v>108541.37000000011</v>
      </c>
      <c r="H8" s="65">
        <f t="shared" si="1"/>
        <v>108541.37000000011</v>
      </c>
      <c r="I8" s="66"/>
      <c r="J8" s="65">
        <f>H8</f>
        <v>108541.37000000011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1653290.04</v>
      </c>
      <c r="D9" s="64">
        <f>460000</f>
        <v>460000</v>
      </c>
      <c r="E9" s="64">
        <f>8463.27</f>
        <v>8463.27</v>
      </c>
      <c r="F9" s="64">
        <v>0</v>
      </c>
      <c r="G9" s="65">
        <f t="shared" si="0"/>
        <v>2121753.31</v>
      </c>
      <c r="H9" s="65">
        <f t="shared" si="1"/>
        <v>2121753.31</v>
      </c>
      <c r="I9" s="66"/>
      <c r="J9" s="65">
        <v>0</v>
      </c>
      <c r="K9" s="65">
        <f>+H9</f>
        <v>2121753.31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2149.79</v>
      </c>
      <c r="D10" s="64">
        <f>2000</f>
        <v>2000</v>
      </c>
      <c r="E10" s="64">
        <v>0</v>
      </c>
      <c r="F10" s="64">
        <f>-942</f>
        <v>-942</v>
      </c>
      <c r="G10" s="65">
        <f t="shared" si="0"/>
        <v>3207.79</v>
      </c>
      <c r="H10" s="65">
        <f t="shared" si="1"/>
        <v>3207.79</v>
      </c>
      <c r="I10" s="66"/>
      <c r="J10" s="65">
        <f aca="true" t="shared" si="3" ref="J10:J15">H10</f>
        <v>3207.79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4284886.12</f>
        <v>4284886.12</v>
      </c>
      <c r="E11" s="64">
        <v>0</v>
      </c>
      <c r="F11" s="64">
        <f>-4284886.12</f>
        <v>-4284886.12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60939.85</v>
      </c>
      <c r="D12" s="64">
        <f>1789098.52</f>
        <v>1789098.52</v>
      </c>
      <c r="E12" s="64">
        <v>0</v>
      </c>
      <c r="F12" s="64">
        <f>-1810276.73</f>
        <v>-1810276.73</v>
      </c>
      <c r="G12" s="65">
        <f t="shared" si="0"/>
        <v>39761.64000000013</v>
      </c>
      <c r="H12" s="65">
        <f t="shared" si="1"/>
        <v>39761.64000000013</v>
      </c>
      <c r="I12" s="66"/>
      <c r="J12" s="65">
        <f t="shared" si="3"/>
        <v>39761.64000000013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v>0</v>
      </c>
      <c r="G13" s="65">
        <f t="shared" si="0"/>
        <v>3151.51</v>
      </c>
      <c r="H13" s="65">
        <f t="shared" si="1"/>
        <v>3151.51</v>
      </c>
      <c r="I13" s="66"/>
      <c r="J13" s="65">
        <f t="shared" si="3"/>
        <v>3151.51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25659.45</v>
      </c>
      <c r="D14" s="67">
        <f>129826.54</f>
        <v>129826.54</v>
      </c>
      <c r="E14" s="67">
        <v>0</v>
      </c>
      <c r="F14" s="67">
        <f>-130110.99</f>
        <v>-130110.99</v>
      </c>
      <c r="G14" s="66">
        <f t="shared" si="0"/>
        <v>25374.999999999985</v>
      </c>
      <c r="H14" s="66">
        <f t="shared" si="1"/>
        <v>25374.999999999985</v>
      </c>
      <c r="I14" s="66"/>
      <c r="J14" s="66">
        <f t="shared" si="3"/>
        <v>25374.999999999985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15105.47</v>
      </c>
      <c r="D15" s="67">
        <f>2452.5+4923.5+6454+6170+1971.75+3402</f>
        <v>25373.75</v>
      </c>
      <c r="E15" s="67">
        <v>0</v>
      </c>
      <c r="F15" s="67">
        <f>-25000</f>
        <v>-25000</v>
      </c>
      <c r="G15" s="66">
        <f t="shared" si="0"/>
        <v>15479.220000000001</v>
      </c>
      <c r="H15" s="68">
        <f>+G15</f>
        <v>15479.220000000001</v>
      </c>
      <c r="I15" s="66"/>
      <c r="J15" s="68">
        <f t="shared" si="3"/>
        <v>15479.220000000001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6784036.279999999</v>
      </c>
      <c r="D16" s="69">
        <f t="shared" si="4"/>
        <v>21422894.03</v>
      </c>
      <c r="E16" s="69">
        <f t="shared" si="4"/>
        <v>31142.910000000003</v>
      </c>
      <c r="F16" s="69">
        <f t="shared" si="4"/>
        <v>-21425626.54</v>
      </c>
      <c r="G16" s="69">
        <f t="shared" si="4"/>
        <v>6812446.679999999</v>
      </c>
      <c r="H16" s="69">
        <f t="shared" si="4"/>
        <v>6812446.679999999</v>
      </c>
      <c r="I16" s="66"/>
      <c r="J16" s="68">
        <f>SUM(J5:J15)</f>
        <v>4690693.37</v>
      </c>
      <c r="K16" s="68">
        <f>SUM(K5:K15)</f>
        <v>2121753.31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0.052355</v>
      </c>
      <c r="C18" s="64">
        <v>330591.05</v>
      </c>
      <c r="D18" s="64">
        <v>0</v>
      </c>
      <c r="E18" s="64">
        <v>1469.99</v>
      </c>
      <c r="F18" s="64">
        <v>0</v>
      </c>
      <c r="G18" s="65">
        <f aca="true" t="shared" si="5" ref="G18:G23">SUM(C18:F18)</f>
        <v>332061.04</v>
      </c>
      <c r="H18" s="65">
        <f aca="true" t="shared" si="6" ref="H18:H23">G18</f>
        <v>332061.04</v>
      </c>
      <c r="I18" s="66"/>
      <c r="J18" s="65">
        <v>0</v>
      </c>
      <c r="K18" s="65">
        <f>H18</f>
        <v>332061.04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0.052355</v>
      </c>
      <c r="C19" s="64">
        <v>478551.54</v>
      </c>
      <c r="D19" s="64">
        <f>1500000+1000000+2000000+2000000</f>
        <v>6500000</v>
      </c>
      <c r="E19" s="64">
        <f>17570.99</f>
        <v>17570.99</v>
      </c>
      <c r="F19" s="64">
        <v>0</v>
      </c>
      <c r="G19" s="65">
        <f t="shared" si="5"/>
        <v>6996122.53</v>
      </c>
      <c r="H19" s="65">
        <f t="shared" si="6"/>
        <v>6996122.53</v>
      </c>
      <c r="I19" s="66"/>
      <c r="J19" s="65">
        <f>H19-K19</f>
        <v>6964058.53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5.17%</f>
        <v>0.051699999999999996</v>
      </c>
      <c r="C21" s="64">
        <v>900569.45</v>
      </c>
      <c r="D21" s="64">
        <v>0</v>
      </c>
      <c r="E21" s="64">
        <f>3953.78</f>
        <v>3953.78</v>
      </c>
      <c r="F21" s="64">
        <v>0</v>
      </c>
      <c r="G21" s="65">
        <f t="shared" si="5"/>
        <v>904523.23</v>
      </c>
      <c r="H21" s="65">
        <f t="shared" si="6"/>
        <v>904523.23</v>
      </c>
      <c r="I21" s="66"/>
      <c r="J21" s="65">
        <f>H21-K21</f>
        <v>904523.23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5.17%</f>
        <v>0.051699999999999996</v>
      </c>
      <c r="C22" s="64">
        <v>4724433.72</v>
      </c>
      <c r="D22" s="64">
        <v>0</v>
      </c>
      <c r="E22" s="64">
        <f>20741.72</f>
        <v>20741.72</v>
      </c>
      <c r="F22" s="64">
        <v>0</v>
      </c>
      <c r="G22" s="65">
        <f t="shared" si="5"/>
        <v>4745175.4399999995</v>
      </c>
      <c r="H22" s="65">
        <f t="shared" si="6"/>
        <v>4745175.4399999995</v>
      </c>
      <c r="I22" s="66"/>
      <c r="J22" s="65">
        <f>H22-K22</f>
        <v>0</v>
      </c>
      <c r="K22" s="65">
        <f>+G22</f>
        <v>4745175.4399999995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2130749.61</v>
      </c>
      <c r="D23" s="70">
        <v>0</v>
      </c>
      <c r="E23" s="70">
        <f>9519.01</f>
        <v>9519.01</v>
      </c>
      <c r="F23" s="70">
        <v>0</v>
      </c>
      <c r="G23" s="68">
        <f t="shared" si="5"/>
        <v>2140268.6199999996</v>
      </c>
      <c r="H23" s="68">
        <f t="shared" si="6"/>
        <v>2140268.6199999996</v>
      </c>
      <c r="I23" s="66"/>
      <c r="J23" s="68">
        <f>H23-K23</f>
        <v>2080807.6899999997</v>
      </c>
      <c r="K23" s="68">
        <f>59460.93</f>
        <v>59460.93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8564895.37</v>
      </c>
      <c r="D24" s="70">
        <f t="shared" si="7"/>
        <v>6500000</v>
      </c>
      <c r="E24" s="70">
        <f t="shared" si="7"/>
        <v>53255.490000000005</v>
      </c>
      <c r="F24" s="70">
        <f t="shared" si="7"/>
        <v>0</v>
      </c>
      <c r="G24" s="68">
        <f t="shared" si="7"/>
        <v>15118150.86</v>
      </c>
      <c r="H24" s="68">
        <f t="shared" si="7"/>
        <v>15118150.86</v>
      </c>
      <c r="I24" s="66"/>
      <c r="J24" s="68">
        <f>SUM(J18:J23)</f>
        <v>9949389.45</v>
      </c>
      <c r="K24" s="68">
        <f>SUM(K18:K23)</f>
        <v>5168761.409999999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2029582.22</v>
      </c>
      <c r="D26" s="67">
        <v>0</v>
      </c>
      <c r="E26" s="67">
        <f>6933.34</f>
        <v>6933.34</v>
      </c>
      <c r="F26" s="67">
        <v>0</v>
      </c>
      <c r="G26" s="66">
        <f aca="true" t="shared" si="8" ref="G26:G33">SUM(C26:F26)</f>
        <v>2036515.56</v>
      </c>
      <c r="H26" s="66">
        <f>1983395.56</f>
        <v>1983395.56</v>
      </c>
      <c r="I26" s="66"/>
      <c r="J26" s="66">
        <v>0</v>
      </c>
      <c r="K26" s="66">
        <f aca="true" t="shared" si="9" ref="K26:K33">G26</f>
        <v>2036515.56</v>
      </c>
      <c r="L26" s="2" t="s">
        <v>38</v>
      </c>
      <c r="M26" s="2" t="s">
        <v>61</v>
      </c>
      <c r="N26" s="79">
        <f aca="true" t="shared" si="10" ref="N26:N31">+G26-H26</f>
        <v>53120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475856</f>
        <v>475856</v>
      </c>
      <c r="I27" s="66"/>
      <c r="J27" s="66">
        <v>0</v>
      </c>
      <c r="K27" s="66">
        <f t="shared" si="9"/>
        <v>485456</v>
      </c>
      <c r="L27" s="2" t="s">
        <v>39</v>
      </c>
      <c r="M27" s="2" t="s">
        <v>61</v>
      </c>
      <c r="N27" s="79">
        <f t="shared" si="10"/>
        <v>9600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v>1006940</v>
      </c>
      <c r="I28" s="66"/>
      <c r="J28" s="66">
        <v>0</v>
      </c>
      <c r="K28" s="66">
        <f t="shared" si="9"/>
        <v>1011000</v>
      </c>
      <c r="L28" s="2" t="s">
        <v>41</v>
      </c>
      <c r="M28" s="2" t="s">
        <v>61</v>
      </c>
      <c r="N28" s="79">
        <f t="shared" si="10"/>
        <v>4060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524307.33</v>
      </c>
      <c r="D29" s="67">
        <v>0</v>
      </c>
      <c r="E29" s="67">
        <v>1538.34</v>
      </c>
      <c r="F29" s="67">
        <v>0</v>
      </c>
      <c r="G29" s="66">
        <f t="shared" si="8"/>
        <v>525845.6699999999</v>
      </c>
      <c r="H29" s="66">
        <f>516095.67</f>
        <v>516095.67</v>
      </c>
      <c r="I29" s="66"/>
      <c r="J29" s="66">
        <v>0</v>
      </c>
      <c r="K29" s="66">
        <f t="shared" si="9"/>
        <v>525845.6699999999</v>
      </c>
      <c r="L29" s="2" t="s">
        <v>46</v>
      </c>
      <c r="M29" s="2" t="s">
        <v>61</v>
      </c>
      <c r="N29" s="79">
        <f t="shared" si="10"/>
        <v>9749.999999999942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989360.83</f>
        <v>989360.83</v>
      </c>
      <c r="I30" s="66"/>
      <c r="J30" s="66">
        <v>0</v>
      </c>
      <c r="K30" s="66">
        <f t="shared" si="9"/>
        <v>1010610.83</v>
      </c>
      <c r="L30" s="2" t="s">
        <v>47</v>
      </c>
      <c r="M30" s="2" t="s">
        <v>61</v>
      </c>
      <c r="N30" s="79">
        <f t="shared" si="10"/>
        <v>21250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1017083.33</v>
      </c>
      <c r="D31" s="67">
        <v>0</v>
      </c>
      <c r="E31" s="67">
        <f>4270.84</f>
        <v>4270.84</v>
      </c>
      <c r="F31" s="67">
        <v>0</v>
      </c>
      <c r="G31" s="66">
        <f t="shared" si="8"/>
        <v>1021354.1699999999</v>
      </c>
      <c r="H31" s="66">
        <f>1019134.17</f>
        <v>1019134.17</v>
      </c>
      <c r="I31" s="66"/>
      <c r="J31" s="66">
        <v>0</v>
      </c>
      <c r="K31" s="66">
        <f t="shared" si="9"/>
        <v>1021354.1699999999</v>
      </c>
      <c r="L31" s="2" t="s">
        <v>83</v>
      </c>
      <c r="M31" s="2" t="s">
        <v>61</v>
      </c>
      <c r="N31" s="79">
        <f t="shared" si="10"/>
        <v>2219.9999999998836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3027.04</v>
      </c>
      <c r="D32" s="67">
        <v>0</v>
      </c>
      <c r="E32" s="67">
        <v>7.09</v>
      </c>
      <c r="F32" s="67">
        <v>0</v>
      </c>
      <c r="G32" s="66">
        <f t="shared" si="8"/>
        <v>3034.13</v>
      </c>
      <c r="H32" s="66">
        <f>+G32</f>
        <v>3034.13</v>
      </c>
      <c r="I32" s="66"/>
      <c r="J32" s="66">
        <v>0</v>
      </c>
      <c r="K32" s="66">
        <f t="shared" si="9"/>
        <v>3034.13</v>
      </c>
      <c r="L32" s="2" t="s">
        <v>53</v>
      </c>
      <c r="M32" s="2" t="s">
        <v>61</v>
      </c>
    </row>
    <row r="33" spans="1:12" s="2" customFormat="1" ht="15" customHeight="1">
      <c r="A33" s="13" t="s">
        <v>96</v>
      </c>
      <c r="B33" s="83" t="s">
        <v>97</v>
      </c>
      <c r="C33" s="70">
        <v>0</v>
      </c>
      <c r="D33" s="70">
        <v>505500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6074227.75</v>
      </c>
      <c r="D34" s="71">
        <f t="shared" si="11"/>
        <v>505500</v>
      </c>
      <c r="E34" s="71">
        <f t="shared" si="11"/>
        <v>19588.61</v>
      </c>
      <c r="F34" s="71">
        <f t="shared" si="11"/>
        <v>0</v>
      </c>
      <c r="G34" s="72">
        <f t="shared" si="11"/>
        <v>6599316.359999999</v>
      </c>
      <c r="H34" s="72">
        <f t="shared" si="11"/>
        <v>6499316.359999999</v>
      </c>
      <c r="I34" s="73"/>
      <c r="J34" s="72">
        <f>SUM(J26:J26)</f>
        <v>0</v>
      </c>
      <c r="K34" s="72">
        <f>SUM(K26:K33)</f>
        <v>6599316.359999999</v>
      </c>
      <c r="L34" s="2"/>
      <c r="M34" s="2"/>
      <c r="N34" s="15">
        <f>SUM(N26:N32)</f>
        <v>99999.99999999983</v>
      </c>
      <c r="O34" s="2"/>
    </row>
    <row r="35" spans="1:14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  <c r="N35" s="1">
        <f>6000000-5844490</f>
        <v>155510</v>
      </c>
    </row>
    <row r="36" spans="1:13" ht="15" customHeight="1" thickBot="1">
      <c r="A36" s="8" t="s">
        <v>16</v>
      </c>
      <c r="B36" s="8"/>
      <c r="C36" s="77">
        <f aca="true" t="shared" si="12" ref="C36:H36">SUM(C34,C24,C16)</f>
        <v>21423159.4</v>
      </c>
      <c r="D36" s="77">
        <f t="shared" si="12"/>
        <v>28428394.03</v>
      </c>
      <c r="E36" s="77">
        <f t="shared" si="12"/>
        <v>103987.01000000001</v>
      </c>
      <c r="F36" s="77">
        <f t="shared" si="12"/>
        <v>-21425626.54</v>
      </c>
      <c r="G36" s="78">
        <f t="shared" si="12"/>
        <v>28529913.9</v>
      </c>
      <c r="H36" s="78">
        <f t="shared" si="12"/>
        <v>28429913.9</v>
      </c>
      <c r="I36" s="73"/>
      <c r="J36" s="78">
        <f>SUM(J34,J24,J16)</f>
        <v>14640082.82</v>
      </c>
      <c r="K36" s="78">
        <f>SUM(K34,K24,K16)</f>
        <v>13889831.08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95</v>
      </c>
      <c r="D38" s="40" t="s">
        <v>94</v>
      </c>
      <c r="E38" s="40" t="s">
        <v>58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0.0497</f>
        <v>0.0497</v>
      </c>
      <c r="D39" s="18">
        <f>4.975%</f>
        <v>0.049749999999999996</v>
      </c>
      <c r="E39" s="18">
        <f>0.03705</f>
        <v>0.03705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AUGUST 31, 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153">
    <pageSetUpPr fitToPage="1"/>
  </sheetPr>
  <dimension ref="A1:O52"/>
  <sheetViews>
    <sheetView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Q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7" width="0" style="1" hidden="1" customWidth="1"/>
    <col min="18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95</v>
      </c>
      <c r="D3" s="29" t="s">
        <v>10</v>
      </c>
      <c r="E3" s="29" t="s">
        <v>54</v>
      </c>
      <c r="F3" s="29" t="s">
        <v>11</v>
      </c>
      <c r="G3" s="41" t="s">
        <v>99</v>
      </c>
      <c r="H3" s="41" t="s">
        <v>99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5.23%</f>
        <v>0.052300000000000006</v>
      </c>
      <c r="C5" s="64">
        <v>2569300.89</v>
      </c>
      <c r="D5" s="64">
        <f>18629220.78</f>
        <v>18629220.78</v>
      </c>
      <c r="E5" s="64">
        <f>12340.96</f>
        <v>12340.96</v>
      </c>
      <c r="F5" s="64">
        <f>-18199270.25</f>
        <v>-18199270.25</v>
      </c>
      <c r="G5" s="65">
        <f aca="true" t="shared" si="0" ref="G5:G15">SUM(C5:F5)</f>
        <v>3011592.3800000027</v>
      </c>
      <c r="H5" s="65">
        <f aca="true" t="shared" si="1" ref="H5:H14">G5</f>
        <v>3011592.3800000027</v>
      </c>
      <c r="I5" s="66"/>
      <c r="J5" s="65">
        <f>H5-K5</f>
        <v>3011592.3800000027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5.23%</f>
        <v>0.052300000000000006</v>
      </c>
      <c r="C6" s="64">
        <v>1289281.68</v>
      </c>
      <c r="D6" s="64">
        <f>4778176.08</f>
        <v>4778176.08</v>
      </c>
      <c r="E6" s="64">
        <f>4202.6</f>
        <v>4202.6</v>
      </c>
      <c r="F6" s="64">
        <f>-5818842.87</f>
        <v>-5818842.87</v>
      </c>
      <c r="G6" s="65">
        <f t="shared" si="0"/>
        <v>252817.4899999993</v>
      </c>
      <c r="H6" s="65">
        <f t="shared" si="1"/>
        <v>252817.4899999993</v>
      </c>
      <c r="I6" s="66"/>
      <c r="J6" s="65">
        <f>H6</f>
        <v>252817.4899999993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5.23%</f>
        <v>0.052300000000000006</v>
      </c>
      <c r="C7" s="64">
        <v>611594.27</v>
      </c>
      <c r="D7" s="64">
        <f>10422142.08</f>
        <v>10422142.08</v>
      </c>
      <c r="E7" s="64">
        <f>4912.76</f>
        <v>4912.76</v>
      </c>
      <c r="F7" s="64">
        <f>-8615856.31</f>
        <v>-8615856.31</v>
      </c>
      <c r="G7" s="65">
        <f t="shared" si="0"/>
        <v>2422792.799999999</v>
      </c>
      <c r="H7" s="65">
        <f t="shared" si="1"/>
        <v>2422792.799999999</v>
      </c>
      <c r="I7" s="66"/>
      <c r="J7" s="65">
        <f>H7</f>
        <v>2422792.799999999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5.23%</f>
        <v>0.052300000000000006</v>
      </c>
      <c r="C8" s="64">
        <v>108541.37</v>
      </c>
      <c r="D8" s="64">
        <f>2469809.03</f>
        <v>2469809.03</v>
      </c>
      <c r="E8" s="64">
        <f>449.84</f>
        <v>449.84</v>
      </c>
      <c r="F8" s="64">
        <f>-2564969.31</f>
        <v>-2564969.31</v>
      </c>
      <c r="G8" s="65">
        <f t="shared" si="0"/>
        <v>13830.929999999702</v>
      </c>
      <c r="H8" s="65">
        <f t="shared" si="1"/>
        <v>13830.929999999702</v>
      </c>
      <c r="I8" s="66"/>
      <c r="J8" s="65">
        <f>H8</f>
        <v>13830.929999999702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5.23%</f>
        <v>0.052300000000000006</v>
      </c>
      <c r="C9" s="64">
        <v>2121753.31</v>
      </c>
      <c r="D9" s="64">
        <v>0</v>
      </c>
      <c r="E9" s="64">
        <f>9208.41</f>
        <v>9208.41</v>
      </c>
      <c r="F9" s="64">
        <v>0</v>
      </c>
      <c r="G9" s="65">
        <f t="shared" si="0"/>
        <v>2130961.72</v>
      </c>
      <c r="H9" s="65">
        <f t="shared" si="1"/>
        <v>2130961.72</v>
      </c>
      <c r="I9" s="66"/>
      <c r="J9" s="65">
        <v>0</v>
      </c>
      <c r="K9" s="65">
        <f>+H9</f>
        <v>2130961.72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3207.79</v>
      </c>
      <c r="D10" s="64">
        <v>2500</v>
      </c>
      <c r="E10" s="64">
        <v>0</v>
      </c>
      <c r="F10" s="64">
        <f>-3059.84</f>
        <v>-3059.84</v>
      </c>
      <c r="G10" s="65">
        <f t="shared" si="0"/>
        <v>2647.95</v>
      </c>
      <c r="H10" s="65">
        <f t="shared" si="1"/>
        <v>2647.95</v>
      </c>
      <c r="I10" s="66"/>
      <c r="J10" s="65">
        <f aca="true" t="shared" si="3" ref="J10:J15">H10</f>
        <v>2647.95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267178.11</f>
        <v>267178.11</v>
      </c>
      <c r="E11" s="64">
        <v>0</v>
      </c>
      <c r="F11" s="64">
        <f>-270251.06</f>
        <v>-270251.06</v>
      </c>
      <c r="G11" s="65">
        <f t="shared" si="0"/>
        <v>21927.04999999999</v>
      </c>
      <c r="H11" s="65">
        <f t="shared" si="1"/>
        <v>21927.04999999999</v>
      </c>
      <c r="I11" s="66"/>
      <c r="J11" s="65">
        <f t="shared" si="3"/>
        <v>21927.04999999999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39761.64000000013</v>
      </c>
      <c r="D12" s="64">
        <f>387998.55</f>
        <v>387998.55</v>
      </c>
      <c r="E12" s="64">
        <v>0</v>
      </c>
      <c r="F12" s="64">
        <f>-397102.44</f>
        <v>-397102.44</v>
      </c>
      <c r="G12" s="65">
        <f t="shared" si="0"/>
        <v>30657.750000000116</v>
      </c>
      <c r="H12" s="65">
        <f t="shared" si="1"/>
        <v>30657.750000000116</v>
      </c>
      <c r="I12" s="66"/>
      <c r="J12" s="65">
        <f t="shared" si="3"/>
        <v>30657.750000000116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3151.51</v>
      </c>
      <c r="D13" s="64">
        <v>0</v>
      </c>
      <c r="E13" s="64">
        <v>0</v>
      </c>
      <c r="F13" s="64">
        <f>-100</f>
        <v>-100</v>
      </c>
      <c r="G13" s="65">
        <f t="shared" si="0"/>
        <v>3051.51</v>
      </c>
      <c r="H13" s="65">
        <f t="shared" si="1"/>
        <v>3051.51</v>
      </c>
      <c r="I13" s="66"/>
      <c r="J13" s="65">
        <f t="shared" si="3"/>
        <v>3051.51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25375</v>
      </c>
      <c r="D14" s="67">
        <f>68592.85</f>
        <v>68592.85</v>
      </c>
      <c r="E14" s="67">
        <v>0</v>
      </c>
      <c r="F14" s="67">
        <f>-68967.85</f>
        <v>-68967.85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15479.22</v>
      </c>
      <c r="D15" s="67">
        <f>58+200+809.5</f>
        <v>1067.5</v>
      </c>
      <c r="E15" s="67">
        <v>0</v>
      </c>
      <c r="F15" s="67">
        <v>0</v>
      </c>
      <c r="G15" s="66">
        <f t="shared" si="0"/>
        <v>16546.72</v>
      </c>
      <c r="H15" s="68">
        <f>+G15</f>
        <v>16546.72</v>
      </c>
      <c r="I15" s="66"/>
      <c r="J15" s="68">
        <f t="shared" si="3"/>
        <v>16546.72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6812446.679999999</v>
      </c>
      <c r="D16" s="69">
        <f t="shared" si="4"/>
        <v>37026684.98</v>
      </c>
      <c r="E16" s="69">
        <f t="shared" si="4"/>
        <v>31114.57</v>
      </c>
      <c r="F16" s="69">
        <f t="shared" si="4"/>
        <v>-35938419.93000001</v>
      </c>
      <c r="G16" s="69">
        <f t="shared" si="4"/>
        <v>7931826.3</v>
      </c>
      <c r="H16" s="69">
        <f t="shared" si="4"/>
        <v>7931826.3</v>
      </c>
      <c r="I16" s="66"/>
      <c r="J16" s="68">
        <f>SUM(J5:J15)</f>
        <v>5800864.58</v>
      </c>
      <c r="K16" s="68">
        <f>SUM(K5:K15)</f>
        <v>2130961.72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5.2648%</f>
        <v>0.052648</v>
      </c>
      <c r="C18" s="64">
        <v>332061.04</v>
      </c>
      <c r="D18" s="64">
        <v>0</v>
      </c>
      <c r="E18" s="64">
        <f>1436.9</f>
        <v>1436.9</v>
      </c>
      <c r="F18" s="64">
        <v>0</v>
      </c>
      <c r="G18" s="65">
        <f aca="true" t="shared" si="5" ref="G18:G23">SUM(C18:F18)</f>
        <v>333497.94</v>
      </c>
      <c r="H18" s="65">
        <f aca="true" t="shared" si="6" ref="H18:H23">G18</f>
        <v>333497.94</v>
      </c>
      <c r="I18" s="66"/>
      <c r="J18" s="65">
        <v>0</v>
      </c>
      <c r="K18" s="65">
        <f>H18</f>
        <v>333497.94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f>5.2648%</f>
        <v>0.052648</v>
      </c>
      <c r="C19" s="64">
        <v>6996122.53</v>
      </c>
      <c r="D19" s="64">
        <f>4250000</f>
        <v>4250000</v>
      </c>
      <c r="E19" s="64">
        <f>36298.53</f>
        <v>36298.53</v>
      </c>
      <c r="F19" s="64">
        <f>-5800000</f>
        <v>-5800000</v>
      </c>
      <c r="G19" s="65">
        <f t="shared" si="5"/>
        <v>5482421.0600000005</v>
      </c>
      <c r="H19" s="65">
        <f t="shared" si="6"/>
        <v>5482421.0600000005</v>
      </c>
      <c r="I19" s="66"/>
      <c r="J19" s="65">
        <f>H19-K19</f>
        <v>5450357.0600000005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f>5.18%</f>
        <v>0.0518</v>
      </c>
      <c r="C21" s="64">
        <v>904523.23</v>
      </c>
      <c r="D21" s="64">
        <v>0</v>
      </c>
      <c r="E21" s="64">
        <f>3851.11</f>
        <v>3851.11</v>
      </c>
      <c r="F21" s="64">
        <v>0</v>
      </c>
      <c r="G21" s="65">
        <f t="shared" si="5"/>
        <v>908374.34</v>
      </c>
      <c r="H21" s="65">
        <f t="shared" si="6"/>
        <v>908374.34</v>
      </c>
      <c r="I21" s="66"/>
      <c r="J21" s="65">
        <f>H21-K21</f>
        <v>908374.34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f>5.18%</f>
        <v>0.0518</v>
      </c>
      <c r="C22" s="64">
        <v>4745175.44</v>
      </c>
      <c r="D22" s="64">
        <v>0</v>
      </c>
      <c r="E22" s="64">
        <f>19879.49</f>
        <v>19879.49</v>
      </c>
      <c r="F22" s="64">
        <f>-133901.44</f>
        <v>-133901.44</v>
      </c>
      <c r="G22" s="65">
        <f t="shared" si="5"/>
        <v>4631153.49</v>
      </c>
      <c r="H22" s="65">
        <f t="shared" si="6"/>
        <v>4631153.49</v>
      </c>
      <c r="I22" s="66"/>
      <c r="J22" s="65">
        <f>H22-K22</f>
        <v>0</v>
      </c>
      <c r="K22" s="65">
        <f>+G22</f>
        <v>4631153.49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5.2601%</f>
        <v>0.052601</v>
      </c>
      <c r="C23" s="70">
        <v>2140268.62</v>
      </c>
      <c r="D23" s="70">
        <f>1000000</f>
        <v>1000000</v>
      </c>
      <c r="E23" s="70">
        <f>11740.43</f>
        <v>11740.43</v>
      </c>
      <c r="F23" s="70">
        <v>0</v>
      </c>
      <c r="G23" s="68">
        <f t="shared" si="5"/>
        <v>3152009.0500000003</v>
      </c>
      <c r="H23" s="68">
        <f t="shared" si="6"/>
        <v>3152009.0500000003</v>
      </c>
      <c r="I23" s="66"/>
      <c r="J23" s="68">
        <f>H23-K23</f>
        <v>3092325.8200000003</v>
      </c>
      <c r="K23" s="68">
        <f>59683.23</f>
        <v>59683.23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15118150.860000003</v>
      </c>
      <c r="D24" s="70">
        <f t="shared" si="7"/>
        <v>5250000</v>
      </c>
      <c r="E24" s="70">
        <f t="shared" si="7"/>
        <v>73206.45999999999</v>
      </c>
      <c r="F24" s="70">
        <f t="shared" si="7"/>
        <v>-5933901.44</v>
      </c>
      <c r="G24" s="68">
        <f t="shared" si="7"/>
        <v>14507455.880000003</v>
      </c>
      <c r="H24" s="68">
        <f t="shared" si="7"/>
        <v>14507455.880000003</v>
      </c>
      <c r="I24" s="66"/>
      <c r="J24" s="68">
        <f>SUM(J18:J23)</f>
        <v>9451057.22</v>
      </c>
      <c r="K24" s="68">
        <f>SUM(K18:K23)</f>
        <v>5056398.660000001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f>6933.33</f>
        <v>6933.33</v>
      </c>
      <c r="F26" s="67">
        <v>0</v>
      </c>
      <c r="G26" s="66">
        <f aca="true" t="shared" si="8" ref="G26:G33">SUM(C26:F26)</f>
        <v>2043448.8900000001</v>
      </c>
      <c r="H26" s="66">
        <f>1954348.89+41600</f>
        <v>1995948.89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M26" s="2" t="s">
        <v>61</v>
      </c>
      <c r="N26" s="79">
        <f aca="true" t="shared" si="10" ref="N26:N31">+G26-H26</f>
        <v>47500.00000000023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478271.2</f>
        <v>478271.2</v>
      </c>
      <c r="I27" s="66"/>
      <c r="J27" s="66">
        <v>0</v>
      </c>
      <c r="K27" s="66">
        <f t="shared" si="9"/>
        <v>486820</v>
      </c>
      <c r="L27" s="2" t="s">
        <v>39</v>
      </c>
      <c r="M27" s="2" t="s">
        <v>61</v>
      </c>
      <c r="N27" s="79">
        <f t="shared" si="10"/>
        <v>8548.799999999988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1012560</f>
        <v>1012560</v>
      </c>
      <c r="I28" s="66"/>
      <c r="J28" s="66">
        <v>0</v>
      </c>
      <c r="K28" s="66">
        <f t="shared" si="9"/>
        <v>1013500</v>
      </c>
      <c r="L28" s="2" t="s">
        <v>41</v>
      </c>
      <c r="M28" s="2" t="s">
        <v>61</v>
      </c>
      <c r="N28" s="79">
        <f t="shared" si="10"/>
        <v>940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518772.8</f>
        <v>518772.8</v>
      </c>
      <c r="I29" s="66"/>
      <c r="J29" s="66">
        <v>0</v>
      </c>
      <c r="K29" s="66">
        <f t="shared" si="9"/>
        <v>527384</v>
      </c>
      <c r="L29" s="2" t="s">
        <v>46</v>
      </c>
      <c r="M29" s="2" t="s">
        <v>61</v>
      </c>
      <c r="N29" s="79">
        <f t="shared" si="10"/>
        <v>8611.200000000012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994525.83</f>
        <v>994525.83</v>
      </c>
      <c r="I30" s="66"/>
      <c r="J30" s="66">
        <v>0</v>
      </c>
      <c r="K30" s="66">
        <f t="shared" si="9"/>
        <v>1013585.83</v>
      </c>
      <c r="L30" s="2" t="s">
        <v>47</v>
      </c>
      <c r="M30" s="2" t="s">
        <v>61</v>
      </c>
      <c r="N30" s="79">
        <f t="shared" si="10"/>
        <v>19060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1021354.17</v>
      </c>
      <c r="D31" s="67">
        <v>0</v>
      </c>
      <c r="E31" s="67">
        <f>4413.18</f>
        <v>4413.18</v>
      </c>
      <c r="F31" s="67">
        <v>0</v>
      </c>
      <c r="G31" s="66">
        <f t="shared" si="8"/>
        <v>1025767.3500000001</v>
      </c>
      <c r="H31" s="66">
        <f>999157.08+25340.27</f>
        <v>1024497.35</v>
      </c>
      <c r="I31" s="66"/>
      <c r="J31" s="66">
        <v>0</v>
      </c>
      <c r="K31" s="66">
        <f t="shared" si="9"/>
        <v>1025767.3500000001</v>
      </c>
      <c r="L31" s="2" t="s">
        <v>83</v>
      </c>
      <c r="M31" s="2" t="s">
        <v>61</v>
      </c>
      <c r="N31" s="79">
        <f t="shared" si="10"/>
        <v>1270.0000000001164</v>
      </c>
      <c r="O31" s="2" t="s">
        <v>61</v>
      </c>
    </row>
    <row r="32" spans="1:13" s="2" customFormat="1" ht="15" customHeight="1">
      <c r="A32" s="13" t="s">
        <v>52</v>
      </c>
      <c r="B32" s="14">
        <v>0.0277</v>
      </c>
      <c r="C32" s="67">
        <v>3034.13</v>
      </c>
      <c r="D32" s="67">
        <v>0</v>
      </c>
      <c r="E32" s="67">
        <f>7.27</f>
        <v>7.27</v>
      </c>
      <c r="F32" s="67">
        <v>0</v>
      </c>
      <c r="G32" s="66">
        <f t="shared" si="8"/>
        <v>3041.4</v>
      </c>
      <c r="H32" s="66">
        <f>+G32</f>
        <v>3041.4</v>
      </c>
      <c r="I32" s="66"/>
      <c r="J32" s="66">
        <v>0</v>
      </c>
      <c r="K32" s="66">
        <f t="shared" si="9"/>
        <v>3041.4</v>
      </c>
      <c r="L32" s="2" t="s">
        <v>53</v>
      </c>
      <c r="M32" s="2" t="s">
        <v>61</v>
      </c>
    </row>
    <row r="33" spans="1:13" s="2" customFormat="1" ht="15" customHeight="1">
      <c r="A33" s="13" t="s">
        <v>96</v>
      </c>
      <c r="B33" s="83" t="s">
        <v>97</v>
      </c>
      <c r="C33" s="70">
        <v>505500</v>
      </c>
      <c r="D33" s="70">
        <v>0</v>
      </c>
      <c r="E33" s="70">
        <v>0</v>
      </c>
      <c r="F33" s="70">
        <v>0</v>
      </c>
      <c r="G33" s="68">
        <f t="shared" si="8"/>
        <v>505500</v>
      </c>
      <c r="H33" s="68">
        <f>505500</f>
        <v>505500</v>
      </c>
      <c r="I33" s="66"/>
      <c r="J33" s="68"/>
      <c r="K33" s="68">
        <f t="shared" si="9"/>
        <v>505500</v>
      </c>
      <c r="L33" s="84" t="s">
        <v>98</v>
      </c>
      <c r="M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6599316.359999999</v>
      </c>
      <c r="D34" s="71">
        <f t="shared" si="11"/>
        <v>0</v>
      </c>
      <c r="E34" s="71">
        <f t="shared" si="11"/>
        <v>19731.11</v>
      </c>
      <c r="F34" s="71">
        <f t="shared" si="11"/>
        <v>0</v>
      </c>
      <c r="G34" s="72">
        <f t="shared" si="11"/>
        <v>6619047.470000001</v>
      </c>
      <c r="H34" s="72">
        <f t="shared" si="11"/>
        <v>6533117.47</v>
      </c>
      <c r="I34" s="73"/>
      <c r="J34" s="72">
        <f>SUM(J26:J26)</f>
        <v>0</v>
      </c>
      <c r="K34" s="72">
        <f>SUM(K26:K33)</f>
        <v>6619047.470000001</v>
      </c>
      <c r="L34" s="2"/>
      <c r="M34" s="2"/>
      <c r="N34" s="15">
        <f>SUM(N26:N32)</f>
        <v>85930.00000000035</v>
      </c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28529913.900000002</v>
      </c>
      <c r="D36" s="77">
        <f t="shared" si="12"/>
        <v>42276684.98</v>
      </c>
      <c r="E36" s="77">
        <f t="shared" si="12"/>
        <v>124052.13999999998</v>
      </c>
      <c r="F36" s="77">
        <f t="shared" si="12"/>
        <v>-41872321.370000005</v>
      </c>
      <c r="G36" s="78">
        <f t="shared" si="12"/>
        <v>29058329.650000002</v>
      </c>
      <c r="H36" s="78">
        <f t="shared" si="12"/>
        <v>28972399.650000002</v>
      </c>
      <c r="I36" s="73"/>
      <c r="J36" s="78">
        <f>SUM(J34,J24,J16)</f>
        <v>15251921.8</v>
      </c>
      <c r="K36" s="78">
        <f>SUM(K34,K24,K16)</f>
        <v>13806407.850000003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99</v>
      </c>
      <c r="D38" s="40" t="s">
        <v>95</v>
      </c>
      <c r="E38" s="40" t="s">
        <v>62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f>0.0481</f>
        <v>0.0481</v>
      </c>
      <c r="D39" s="18">
        <f>4.97%</f>
        <v>0.049699999999999994</v>
      </c>
      <c r="E39" s="18">
        <f>0.03745</f>
        <v>0.03745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8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SEPTEMBER 30, 2006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154">
    <pageSetUpPr fitToPage="1"/>
  </sheetPr>
  <dimension ref="A1:O53"/>
  <sheetViews>
    <sheetView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99</v>
      </c>
      <c r="D3" s="29" t="s">
        <v>10</v>
      </c>
      <c r="E3" s="29" t="s">
        <v>54</v>
      </c>
      <c r="F3" s="29" t="s">
        <v>11</v>
      </c>
      <c r="G3" s="41" t="s">
        <v>100</v>
      </c>
      <c r="H3" s="41" t="s">
        <v>100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5.05%</f>
        <v>0.050499999999999996</v>
      </c>
      <c r="C5" s="64">
        <v>3011592.38</v>
      </c>
      <c r="D5" s="64">
        <f>4064000.5</f>
        <v>4064000.5</v>
      </c>
      <c r="E5" s="64">
        <f>6647.77</f>
        <v>6647.77</v>
      </c>
      <c r="F5" s="64">
        <f>-6226170.06</f>
        <v>-6226170.06</v>
      </c>
      <c r="G5" s="65">
        <f aca="true" t="shared" si="0" ref="G5:G15">SUM(C5:F5)</f>
        <v>856070.5899999999</v>
      </c>
      <c r="H5" s="65">
        <f aca="true" t="shared" si="1" ref="H5:H14">G5</f>
        <v>856070.5899999999</v>
      </c>
      <c r="I5" s="66"/>
      <c r="J5" s="65">
        <f>H5-K5</f>
        <v>856070.5899999999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5.05%</f>
        <v>0.050499999999999996</v>
      </c>
      <c r="C6" s="64">
        <v>252817.4899999993</v>
      </c>
      <c r="D6" s="64">
        <f>935417.55</f>
        <v>935417.55</v>
      </c>
      <c r="E6" s="64">
        <f>3161.57</f>
        <v>3161.57</v>
      </c>
      <c r="F6" s="64">
        <f>-26471.15</f>
        <v>-26471.15</v>
      </c>
      <c r="G6" s="65">
        <f t="shared" si="0"/>
        <v>1164925.4599999995</v>
      </c>
      <c r="H6" s="65">
        <f t="shared" si="1"/>
        <v>1164925.4599999995</v>
      </c>
      <c r="I6" s="66"/>
      <c r="J6" s="65">
        <f>H6</f>
        <v>1164925.4599999995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5.05%</f>
        <v>0.050499999999999996</v>
      </c>
      <c r="C7" s="64">
        <v>2422792.8</v>
      </c>
      <c r="D7" s="64">
        <f>3581580.14</f>
        <v>3581580.14</v>
      </c>
      <c r="E7" s="64">
        <f>6784.67</f>
        <v>6784.67</v>
      </c>
      <c r="F7" s="64">
        <f>-4815694.87</f>
        <v>-4815694.87</v>
      </c>
      <c r="G7" s="65">
        <f t="shared" si="0"/>
        <v>1195462.7399999993</v>
      </c>
      <c r="H7" s="65">
        <f t="shared" si="1"/>
        <v>1195462.7399999993</v>
      </c>
      <c r="I7" s="66"/>
      <c r="J7" s="65">
        <f>H7</f>
        <v>1195462.7399999993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5.05%</f>
        <v>0.050499999999999996</v>
      </c>
      <c r="C8" s="64">
        <v>13830.929999999702</v>
      </c>
      <c r="D8" s="64">
        <f>2636630.07</f>
        <v>2636630.07</v>
      </c>
      <c r="E8" s="64">
        <f>399.5</f>
        <v>399.5</v>
      </c>
      <c r="F8" s="64">
        <f>-2640461</f>
        <v>-2640461</v>
      </c>
      <c r="G8" s="65">
        <f t="shared" si="0"/>
        <v>10399.499999999534</v>
      </c>
      <c r="H8" s="65">
        <f t="shared" si="1"/>
        <v>10399.499999999534</v>
      </c>
      <c r="I8" s="66"/>
      <c r="J8" s="65">
        <f>H8</f>
        <v>10399.499999999534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5.05%</f>
        <v>0.050499999999999996</v>
      </c>
      <c r="C9" s="64">
        <v>2130961.72</v>
      </c>
      <c r="D9" s="64">
        <v>0</v>
      </c>
      <c r="E9" s="64">
        <f>8652.29</f>
        <v>8652.29</v>
      </c>
      <c r="F9" s="64">
        <v>0</v>
      </c>
      <c r="G9" s="65">
        <f t="shared" si="0"/>
        <v>2139614.0100000002</v>
      </c>
      <c r="H9" s="65">
        <f t="shared" si="1"/>
        <v>2139614.0100000002</v>
      </c>
      <c r="I9" s="66"/>
      <c r="J9" s="65">
        <v>0</v>
      </c>
      <c r="K9" s="65">
        <f>+H9</f>
        <v>2139614.0100000002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2647.95</v>
      </c>
      <c r="D10" s="64">
        <v>0</v>
      </c>
      <c r="E10" s="64">
        <v>0</v>
      </c>
      <c r="F10" s="64">
        <f>-1680.62</f>
        <v>-1680.62</v>
      </c>
      <c r="G10" s="65">
        <f t="shared" si="0"/>
        <v>967.3299999999999</v>
      </c>
      <c r="H10" s="65">
        <f t="shared" si="1"/>
        <v>967.3299999999999</v>
      </c>
      <c r="I10" s="66"/>
      <c r="J10" s="65">
        <f aca="true" t="shared" si="3" ref="J10:J15">H10</f>
        <v>967.3299999999999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21927.05</v>
      </c>
      <c r="D11" s="64">
        <f>15986.28</f>
        <v>15986.28</v>
      </c>
      <c r="E11" s="64">
        <v>0</v>
      </c>
      <c r="F11" s="64">
        <f>-12913.33</f>
        <v>-12913.33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30657.750000000116</v>
      </c>
      <c r="D12" s="64">
        <f>225456.01</f>
        <v>225456.01</v>
      </c>
      <c r="E12" s="64">
        <v>0</v>
      </c>
      <c r="F12" s="64">
        <f>-227759.04</f>
        <v>-227759.04</v>
      </c>
      <c r="G12" s="65">
        <f t="shared" si="0"/>
        <v>28354.720000000118</v>
      </c>
      <c r="H12" s="65">
        <f t="shared" si="1"/>
        <v>28354.720000000118</v>
      </c>
      <c r="I12" s="66"/>
      <c r="J12" s="65">
        <f t="shared" si="3"/>
        <v>28354.720000000118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3051.51</v>
      </c>
      <c r="D13" s="64">
        <v>0</v>
      </c>
      <c r="E13" s="64">
        <v>0</v>
      </c>
      <c r="F13" s="64">
        <f>-1137.98</f>
        <v>-1137.98</v>
      </c>
      <c r="G13" s="65">
        <f t="shared" si="0"/>
        <v>1913.5300000000002</v>
      </c>
      <c r="H13" s="65">
        <f t="shared" si="1"/>
        <v>1913.5300000000002</v>
      </c>
      <c r="I13" s="66"/>
      <c r="J13" s="65">
        <f t="shared" si="3"/>
        <v>1913.5300000000002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v>6586.47</v>
      </c>
      <c r="E14" s="67">
        <v>0</v>
      </c>
      <c r="F14" s="67">
        <f>-6586.47</f>
        <v>-6586.47</v>
      </c>
      <c r="G14" s="66">
        <f t="shared" si="0"/>
        <v>25000</v>
      </c>
      <c r="H14" s="66">
        <f t="shared" si="1"/>
        <v>25000</v>
      </c>
      <c r="I14" s="66"/>
      <c r="J14" s="66">
        <f t="shared" si="3"/>
        <v>25000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16546.72</v>
      </c>
      <c r="D15" s="67">
        <f>641+1789</f>
        <v>2430</v>
      </c>
      <c r="E15" s="67">
        <v>0</v>
      </c>
      <c r="F15" s="67">
        <v>0</v>
      </c>
      <c r="G15" s="66">
        <f t="shared" si="0"/>
        <v>18976.72</v>
      </c>
      <c r="H15" s="68">
        <f>+G15</f>
        <v>18976.72</v>
      </c>
      <c r="I15" s="66"/>
      <c r="J15" s="68">
        <f t="shared" si="3"/>
        <v>18976.72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7931826.299999998</v>
      </c>
      <c r="D16" s="69">
        <f t="shared" si="4"/>
        <v>11468087.02</v>
      </c>
      <c r="E16" s="69">
        <f t="shared" si="4"/>
        <v>25645.800000000003</v>
      </c>
      <c r="F16" s="69">
        <f t="shared" si="4"/>
        <v>-13958874.52</v>
      </c>
      <c r="G16" s="69">
        <f t="shared" si="4"/>
        <v>5466684.599999999</v>
      </c>
      <c r="H16" s="69">
        <f t="shared" si="4"/>
        <v>5466684.599999999</v>
      </c>
      <c r="I16" s="66"/>
      <c r="J16" s="68">
        <f>SUM(J5:J15)</f>
        <v>3327070.5899999985</v>
      </c>
      <c r="K16" s="68">
        <f>SUM(K5:K15)</f>
        <v>2139614.0100000002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0.053128</v>
      </c>
      <c r="C18" s="64">
        <v>333497.94</v>
      </c>
      <c r="D18" s="64">
        <v>0</v>
      </c>
      <c r="E18" s="64">
        <f>1496.4</f>
        <v>1496.4</v>
      </c>
      <c r="F18" s="64">
        <v>0</v>
      </c>
      <c r="G18" s="65">
        <f aca="true" t="shared" si="5" ref="G18:G23">SUM(C18:F18)</f>
        <v>334994.34</v>
      </c>
      <c r="H18" s="65">
        <f aca="true" t="shared" si="6" ref="H18:H23">G18</f>
        <v>334994.34</v>
      </c>
      <c r="I18" s="66"/>
      <c r="J18" s="65">
        <v>0</v>
      </c>
      <c r="K18" s="65">
        <f>H18</f>
        <v>334994.34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0.053128</v>
      </c>
      <c r="C19" s="64">
        <v>5482421.0600000005</v>
      </c>
      <c r="D19" s="64">
        <v>0</v>
      </c>
      <c r="E19" s="64">
        <v>24599.58</v>
      </c>
      <c r="F19" s="64">
        <v>0</v>
      </c>
      <c r="G19" s="65">
        <f t="shared" si="5"/>
        <v>5507020.640000001</v>
      </c>
      <c r="H19" s="65">
        <f t="shared" si="6"/>
        <v>5507020.640000001</v>
      </c>
      <c r="I19" s="66"/>
      <c r="J19" s="65">
        <f>H19-K19</f>
        <v>5473516.960000001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0.052</v>
      </c>
      <c r="C21" s="64">
        <v>908374.34</v>
      </c>
      <c r="D21" s="64">
        <v>0</v>
      </c>
      <c r="E21" s="64">
        <v>4012.31</v>
      </c>
      <c r="F21" s="64">
        <v>0</v>
      </c>
      <c r="G21" s="65">
        <f t="shared" si="5"/>
        <v>912386.65</v>
      </c>
      <c r="H21" s="65">
        <f t="shared" si="6"/>
        <v>912386.65</v>
      </c>
      <c r="I21" s="66"/>
      <c r="J21" s="65">
        <f>H21-K21</f>
        <v>912386.65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0.052</v>
      </c>
      <c r="C22" s="64">
        <v>4631153.49</v>
      </c>
      <c r="D22" s="64">
        <v>0</v>
      </c>
      <c r="E22" s="64">
        <v>20455.89</v>
      </c>
      <c r="F22" s="64">
        <v>0</v>
      </c>
      <c r="G22" s="65">
        <f t="shared" si="5"/>
        <v>4651609.38</v>
      </c>
      <c r="H22" s="65">
        <f t="shared" si="6"/>
        <v>4651609.38</v>
      </c>
      <c r="I22" s="66"/>
      <c r="J22" s="65">
        <f>H22-K22</f>
        <v>0</v>
      </c>
      <c r="K22" s="65">
        <f>+G22</f>
        <v>4651609.38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0.052903</v>
      </c>
      <c r="C23" s="70">
        <v>3152009.05</v>
      </c>
      <c r="D23" s="70">
        <v>0</v>
      </c>
      <c r="E23" s="70">
        <v>14162.41</v>
      </c>
      <c r="F23" s="70">
        <v>0</v>
      </c>
      <c r="G23" s="68">
        <f t="shared" si="5"/>
        <v>3166171.46</v>
      </c>
      <c r="H23" s="68">
        <f t="shared" si="6"/>
        <v>3166171.46</v>
      </c>
      <c r="I23" s="66"/>
      <c r="J23" s="68">
        <f>H23-K23</f>
        <v>3106220.07</v>
      </c>
      <c r="K23" s="68">
        <f>59951.39</f>
        <v>59951.39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14507455.880000003</v>
      </c>
      <c r="D24" s="70">
        <f t="shared" si="7"/>
        <v>0</v>
      </c>
      <c r="E24" s="70">
        <f t="shared" si="7"/>
        <v>64726.59000000001</v>
      </c>
      <c r="F24" s="70">
        <f t="shared" si="7"/>
        <v>0</v>
      </c>
      <c r="G24" s="68">
        <f t="shared" si="7"/>
        <v>14572182.470000003</v>
      </c>
      <c r="H24" s="68">
        <f t="shared" si="7"/>
        <v>14572182.470000003</v>
      </c>
      <c r="I24" s="66"/>
      <c r="J24" s="68">
        <f>SUM(J18:J23)</f>
        <v>9492123.680000002</v>
      </c>
      <c r="K24" s="68">
        <f>SUM(K18:K23)</f>
        <v>5080058.79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2043448.89</v>
      </c>
      <c r="D26" s="67">
        <v>0</v>
      </c>
      <c r="E26" s="67">
        <f>6933.33</f>
        <v>6933.33</v>
      </c>
      <c r="F26" s="67">
        <f>-41600</f>
        <v>-41600</v>
      </c>
      <c r="G26" s="66">
        <f aca="true" t="shared" si="8" ref="G26:G34">SUM(C26:F26)</f>
        <v>2008782.22</v>
      </c>
      <c r="H26" s="66">
        <f>1956880+8782.22</f>
        <v>1965662.22</v>
      </c>
      <c r="I26" s="66"/>
      <c r="J26" s="66">
        <v>0</v>
      </c>
      <c r="K26" s="66">
        <f aca="true" t="shared" si="9" ref="K26:K34">G26</f>
        <v>2008782.22</v>
      </c>
      <c r="L26" s="2" t="s">
        <v>38</v>
      </c>
      <c r="N26" s="79">
        <f aca="true" t="shared" si="10" ref="N26:N33">+G26-H26</f>
        <v>43120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471902.4+8184</f>
        <v>480086.4</v>
      </c>
      <c r="I27" s="66"/>
      <c r="J27" s="66">
        <v>0</v>
      </c>
      <c r="K27" s="66">
        <f t="shared" si="9"/>
        <v>488184</v>
      </c>
      <c r="L27" s="2" t="s">
        <v>39</v>
      </c>
      <c r="N27" s="79">
        <f t="shared" si="10"/>
        <v>8097.599999999977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1013500</v>
      </c>
      <c r="D28" s="67">
        <v>0</v>
      </c>
      <c r="E28" s="67">
        <f>1500</f>
        <v>1500</v>
      </c>
      <c r="F28" s="67">
        <f>-1000000</f>
        <v>-1000000</v>
      </c>
      <c r="G28" s="66">
        <f t="shared" si="8"/>
        <v>15000</v>
      </c>
      <c r="H28" s="66">
        <f>15000</f>
        <v>15000</v>
      </c>
      <c r="I28" s="66"/>
      <c r="J28" s="66">
        <v>0</v>
      </c>
      <c r="K28" s="66">
        <f t="shared" si="9"/>
        <v>15000</v>
      </c>
      <c r="L28" s="2" t="s">
        <v>41</v>
      </c>
      <c r="N28" s="79">
        <f t="shared" si="10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511877.6+8922.33</f>
        <v>520799.93</v>
      </c>
      <c r="I29" s="66"/>
      <c r="J29" s="66">
        <v>0</v>
      </c>
      <c r="K29" s="66">
        <f t="shared" si="9"/>
        <v>528922.33</v>
      </c>
      <c r="L29" s="2" t="s">
        <v>46</v>
      </c>
      <c r="N29" s="79">
        <f t="shared" si="10"/>
        <v>8122.399999999965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982190+16560.83</f>
        <v>998750.83</v>
      </c>
      <c r="I30" s="66"/>
      <c r="J30" s="66">
        <v>0</v>
      </c>
      <c r="K30" s="66">
        <f t="shared" si="9"/>
        <v>1016560.83</v>
      </c>
      <c r="L30" s="2" t="s">
        <v>47</v>
      </c>
      <c r="N30" s="79">
        <f t="shared" si="10"/>
        <v>17810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1025767.35</v>
      </c>
      <c r="D31" s="67">
        <v>0</v>
      </c>
      <c r="E31" s="67">
        <f>4270.84</f>
        <v>4270.84</v>
      </c>
      <c r="F31" s="67">
        <f>-25340.27</f>
        <v>-25340.27</v>
      </c>
      <c r="G31" s="66">
        <f t="shared" si="8"/>
        <v>1004697.9199999999</v>
      </c>
      <c r="H31" s="66">
        <f>998600+4697.92</f>
        <v>1003297.92</v>
      </c>
      <c r="I31" s="66"/>
      <c r="J31" s="66">
        <v>0</v>
      </c>
      <c r="K31" s="66">
        <f t="shared" si="9"/>
        <v>1004697.9199999999</v>
      </c>
      <c r="L31" s="2" t="s">
        <v>83</v>
      </c>
      <c r="N31" s="79">
        <f t="shared" si="10"/>
        <v>1399.9999999998836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v>1000000</v>
      </c>
      <c r="I32" s="66"/>
      <c r="J32" s="66"/>
      <c r="K32" s="66">
        <f t="shared" si="9"/>
        <v>1000000</v>
      </c>
      <c r="L32" s="2" t="s">
        <v>102</v>
      </c>
      <c r="N32" s="79">
        <f t="shared" si="10"/>
        <v>0</v>
      </c>
      <c r="O32" s="2" t="s">
        <v>61</v>
      </c>
    </row>
    <row r="33" spans="1:15" s="2" customFormat="1" ht="15" customHeight="1">
      <c r="A33" s="13" t="s">
        <v>52</v>
      </c>
      <c r="B33" s="14">
        <v>0.0277</v>
      </c>
      <c r="C33" s="67">
        <v>3041.4</v>
      </c>
      <c r="D33" s="67">
        <v>0</v>
      </c>
      <c r="E33" s="67">
        <f>949.14</f>
        <v>949.14</v>
      </c>
      <c r="F33" s="67">
        <v>0</v>
      </c>
      <c r="G33" s="66">
        <f t="shared" si="8"/>
        <v>3990.54</v>
      </c>
      <c r="H33" s="66">
        <f>+G33</f>
        <v>3990.54</v>
      </c>
      <c r="I33" s="66"/>
      <c r="J33" s="66">
        <v>0</v>
      </c>
      <c r="K33" s="66">
        <f t="shared" si="9"/>
        <v>3990.54</v>
      </c>
      <c r="L33" s="2" t="s">
        <v>53</v>
      </c>
      <c r="N33" s="79">
        <f t="shared" si="10"/>
        <v>0</v>
      </c>
      <c r="O33" s="2" t="s">
        <v>61</v>
      </c>
    </row>
    <row r="34" spans="1:12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8"/>
        <v>505500</v>
      </c>
      <c r="H34" s="68">
        <f>505500</f>
        <v>505500</v>
      </c>
      <c r="I34" s="66"/>
      <c r="J34" s="68"/>
      <c r="K34" s="68">
        <f t="shared" si="9"/>
        <v>505500</v>
      </c>
      <c r="L34" s="84" t="s">
        <v>98</v>
      </c>
    </row>
    <row r="35" spans="1:15" ht="15" customHeight="1">
      <c r="A35" s="2" t="s">
        <v>3</v>
      </c>
      <c r="B35" s="10" t="s">
        <v>1</v>
      </c>
      <c r="C35" s="71">
        <f aca="true" t="shared" si="11" ref="C35:H35">SUM(C26:C34)</f>
        <v>6619047.47</v>
      </c>
      <c r="D35" s="71">
        <f t="shared" si="11"/>
        <v>1000000</v>
      </c>
      <c r="E35" s="71">
        <f t="shared" si="11"/>
        <v>19530.64</v>
      </c>
      <c r="F35" s="71">
        <f t="shared" si="11"/>
        <v>-1066940.27</v>
      </c>
      <c r="G35" s="72">
        <f t="shared" si="11"/>
        <v>6571637.84</v>
      </c>
      <c r="H35" s="72">
        <f t="shared" si="11"/>
        <v>6493087.840000001</v>
      </c>
      <c r="I35" s="73"/>
      <c r="J35" s="72">
        <f>SUM(J26:J26)</f>
        <v>0</v>
      </c>
      <c r="K35" s="72">
        <f>SUM(K26:K34)</f>
        <v>6571637.84</v>
      </c>
      <c r="L35" s="2"/>
      <c r="M35" s="2"/>
      <c r="N35" s="15">
        <f>SUM(N26:N33)</f>
        <v>78549.99999999983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2" ref="C37:H37">SUM(C35,C24,C16)</f>
        <v>29058329.65</v>
      </c>
      <c r="D37" s="77">
        <f t="shared" si="12"/>
        <v>12468087.02</v>
      </c>
      <c r="E37" s="77">
        <f t="shared" si="12"/>
        <v>109903.03000000001</v>
      </c>
      <c r="F37" s="77">
        <f t="shared" si="12"/>
        <v>-15025814.79</v>
      </c>
      <c r="G37" s="78">
        <f t="shared" si="12"/>
        <v>26610504.91</v>
      </c>
      <c r="H37" s="78">
        <f t="shared" si="12"/>
        <v>26531954.91</v>
      </c>
      <c r="I37" s="73"/>
      <c r="J37" s="78">
        <f>SUM(J35,J24,J16)</f>
        <v>12819194.27</v>
      </c>
      <c r="K37" s="78">
        <f>SUM(K35,K24,K16)</f>
        <v>13791310.639999999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100</v>
      </c>
      <c r="D39" s="40" t="s">
        <v>99</v>
      </c>
      <c r="E39" s="40" t="s">
        <v>64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0.04955</f>
        <v>0.04955</v>
      </c>
      <c r="D40" s="18">
        <f>0.0481</f>
        <v>0.0481</v>
      </c>
      <c r="E40" s="18">
        <v>0.04125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OCTOBER 31, 2006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155">
    <pageSetUpPr fitToPage="1"/>
  </sheetPr>
  <dimension ref="A1:O53"/>
  <sheetViews>
    <sheetView workbookViewId="0" topLeftCell="A1">
      <pane xSplit="1" ySplit="3" topLeftCell="J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R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8" width="0" style="1" hidden="1" customWidth="1"/>
    <col min="19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100</v>
      </c>
      <c r="D3" s="29" t="s">
        <v>10</v>
      </c>
      <c r="E3" s="29" t="s">
        <v>54</v>
      </c>
      <c r="F3" s="29" t="s">
        <v>11</v>
      </c>
      <c r="G3" s="41" t="s">
        <v>103</v>
      </c>
      <c r="H3" s="41" t="s">
        <v>103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5.08%</f>
        <v>0.0508</v>
      </c>
      <c r="C5" s="64">
        <v>856070.59</v>
      </c>
      <c r="D5" s="64">
        <f>8536333.23</f>
        <v>8536333.23</v>
      </c>
      <c r="E5" s="64">
        <f>9319.12</f>
        <v>9319.12</v>
      </c>
      <c r="F5" s="64">
        <f>-5244399.11</f>
        <v>-5244399.11</v>
      </c>
      <c r="G5" s="65">
        <f aca="true" t="shared" si="1" ref="G5:G15">SUM(C5:F5)</f>
        <v>4157323.829999999</v>
      </c>
      <c r="H5" s="65">
        <f aca="true" t="shared" si="2" ref="H5:H14">G5</f>
        <v>4157323.829999999</v>
      </c>
      <c r="I5" s="66"/>
      <c r="J5" s="65">
        <f>H5-K5</f>
        <v>4157323.829999999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0.0508</v>
      </c>
      <c r="C6" s="64">
        <v>1164925.46</v>
      </c>
      <c r="D6" s="64">
        <v>336223.9</v>
      </c>
      <c r="E6" s="64">
        <f>1253.78</f>
        <v>1253.78</v>
      </c>
      <c r="F6" s="64">
        <f>-1038026.68</f>
        <v>-1038026.68</v>
      </c>
      <c r="G6" s="65">
        <f t="shared" si="1"/>
        <v>464376.45999999985</v>
      </c>
      <c r="H6" s="65">
        <f t="shared" si="2"/>
        <v>464376.45999999985</v>
      </c>
      <c r="I6" s="66"/>
      <c r="J6" s="65">
        <f>H6</f>
        <v>464376.45999999985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0.0508</v>
      </c>
      <c r="C7" s="64">
        <v>1195462.74</v>
      </c>
      <c r="D7" s="64">
        <f>2612588.9</f>
        <v>2612588.9</v>
      </c>
      <c r="E7" s="64">
        <f>4021.12</f>
        <v>4021.12</v>
      </c>
      <c r="F7" s="64">
        <f>-2747688.68</f>
        <v>-2747688.68</v>
      </c>
      <c r="G7" s="65">
        <f t="shared" si="1"/>
        <v>1064384.0799999996</v>
      </c>
      <c r="H7" s="65">
        <f t="shared" si="2"/>
        <v>1064384.0799999996</v>
      </c>
      <c r="I7" s="66"/>
      <c r="J7" s="65">
        <f>H7</f>
        <v>1064384.0799999996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0.0508</v>
      </c>
      <c r="C8" s="64">
        <v>10399.499999999534</v>
      </c>
      <c r="D8" s="64">
        <f>2610503.45</f>
        <v>2610503.45</v>
      </c>
      <c r="E8" s="64">
        <f>1051.42</f>
        <v>1051.42</v>
      </c>
      <c r="F8" s="64">
        <f>-2610530.34</f>
        <v>-2610530.34</v>
      </c>
      <c r="G8" s="65">
        <f t="shared" si="1"/>
        <v>11424.029999999795</v>
      </c>
      <c r="H8" s="65">
        <f t="shared" si="2"/>
        <v>11424.029999999795</v>
      </c>
      <c r="I8" s="66"/>
      <c r="J8" s="65">
        <f>H8</f>
        <v>11424.029999999795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0.0508</v>
      </c>
      <c r="C9" s="64">
        <v>2139614.01</v>
      </c>
      <c r="D9" s="64">
        <v>0</v>
      </c>
      <c r="E9" s="64">
        <f>8644.15</f>
        <v>8644.15</v>
      </c>
      <c r="F9" s="64">
        <v>0</v>
      </c>
      <c r="G9" s="65">
        <f t="shared" si="1"/>
        <v>2148258.1599999997</v>
      </c>
      <c r="H9" s="65">
        <f t="shared" si="2"/>
        <v>2148258.1599999997</v>
      </c>
      <c r="I9" s="66"/>
      <c r="J9" s="65">
        <v>0</v>
      </c>
      <c r="K9" s="65">
        <f>+H9</f>
        <v>2148258.1599999997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0.0508</v>
      </c>
      <c r="C10" s="64">
        <v>967.33</v>
      </c>
      <c r="D10" s="64">
        <v>2000</v>
      </c>
      <c r="E10" s="64">
        <v>0.67</v>
      </c>
      <c r="F10" s="64">
        <f>-2277.86</f>
        <v>-2277.86</v>
      </c>
      <c r="G10" s="65">
        <f t="shared" si="1"/>
        <v>690.1399999999999</v>
      </c>
      <c r="H10" s="65">
        <f t="shared" si="2"/>
        <v>690.1399999999999</v>
      </c>
      <c r="I10" s="66"/>
      <c r="J10" s="65">
        <f aca="true" t="shared" si="4" ref="J10:J15">H10</f>
        <v>690.1399999999999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2325974.86</f>
        <v>2325974.86</v>
      </c>
      <c r="E11" s="64">
        <v>0</v>
      </c>
      <c r="F11" s="64">
        <f>-2325974.86</f>
        <v>-2325974.86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28354.720000000118</v>
      </c>
      <c r="D12" s="64">
        <f>844389.9</f>
        <v>844389.9</v>
      </c>
      <c r="E12" s="64">
        <v>0</v>
      </c>
      <c r="F12" s="64">
        <f>-789395.62</f>
        <v>-789395.62</v>
      </c>
      <c r="G12" s="65">
        <f t="shared" si="1"/>
        <v>83349.00000000012</v>
      </c>
      <c r="H12" s="65">
        <f t="shared" si="2"/>
        <v>83349.00000000012</v>
      </c>
      <c r="I12" s="66"/>
      <c r="J12" s="65">
        <f t="shared" si="4"/>
        <v>83349.00000000012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1913.53</v>
      </c>
      <c r="D13" s="64">
        <v>0</v>
      </c>
      <c r="E13" s="64">
        <v>0</v>
      </c>
      <c r="F13" s="64">
        <f>-253.59</f>
        <v>-253.59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20667.57</f>
        <v>20667.57</v>
      </c>
      <c r="E14" s="67">
        <v>0</v>
      </c>
      <c r="F14" s="67">
        <f>-20667.57</f>
        <v>-20667.57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18976.72</v>
      </c>
      <c r="D15" s="67">
        <f>837.25+651.75</f>
        <v>1489</v>
      </c>
      <c r="E15" s="67">
        <v>0</v>
      </c>
      <c r="F15" s="67">
        <v>0</v>
      </c>
      <c r="G15" s="66">
        <f t="shared" si="1"/>
        <v>20465.72</v>
      </c>
      <c r="H15" s="68">
        <f>+G15</f>
        <v>20465.72</v>
      </c>
      <c r="I15" s="66"/>
      <c r="J15" s="68">
        <f t="shared" si="4"/>
        <v>20465.72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5466684.599999999</v>
      </c>
      <c r="D16" s="69">
        <f t="shared" si="5"/>
        <v>17290170.81</v>
      </c>
      <c r="E16" s="69">
        <f t="shared" si="5"/>
        <v>24290.26</v>
      </c>
      <c r="F16" s="69">
        <f t="shared" si="5"/>
        <v>-14779214.309999999</v>
      </c>
      <c r="G16" s="69">
        <f t="shared" si="5"/>
        <v>8001931.3599999985</v>
      </c>
      <c r="H16" s="69">
        <f t="shared" si="5"/>
        <v>8001931.3599999985</v>
      </c>
      <c r="I16" s="66"/>
      <c r="J16" s="68">
        <f>SUM(J5:J15)</f>
        <v>5853673.199999998</v>
      </c>
      <c r="K16" s="68">
        <f>SUM(K5:K15)</f>
        <v>2148258.1599999997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0.05278</v>
      </c>
      <c r="C18" s="64">
        <v>334994.34</v>
      </c>
      <c r="D18" s="64">
        <v>0</v>
      </c>
      <c r="E18" s="64">
        <f>1453.2</f>
        <v>1453.2</v>
      </c>
      <c r="F18" s="64">
        <v>0</v>
      </c>
      <c r="G18" s="65">
        <f aca="true" t="shared" si="6" ref="G18:G23">SUM(C18:F18)</f>
        <v>336447.54000000004</v>
      </c>
      <c r="H18" s="65">
        <f aca="true" t="shared" si="7" ref="H18:H23">G18</f>
        <v>336447.54000000004</v>
      </c>
      <c r="I18" s="66"/>
      <c r="J18" s="65">
        <v>0</v>
      </c>
      <c r="K18" s="65">
        <f>H18</f>
        <v>336447.54000000004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0.05278</v>
      </c>
      <c r="C19" s="64">
        <v>5507020.640000001</v>
      </c>
      <c r="D19" s="64">
        <v>0</v>
      </c>
      <c r="E19" s="64">
        <f>1009.39+22880.45</f>
        <v>23889.84</v>
      </c>
      <c r="F19" s="64">
        <v>0</v>
      </c>
      <c r="G19" s="65">
        <f t="shared" si="6"/>
        <v>5530910.48</v>
      </c>
      <c r="H19" s="65">
        <f t="shared" si="7"/>
        <v>5530910.48</v>
      </c>
      <c r="I19" s="66"/>
      <c r="J19" s="65">
        <f>H19-K19</f>
        <v>5497406.800000001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912386.65</v>
      </c>
      <c r="D21" s="64">
        <v>0</v>
      </c>
      <c r="E21" s="64">
        <f>3894.25</f>
        <v>3894.25</v>
      </c>
      <c r="F21" s="64">
        <v>0</v>
      </c>
      <c r="G21" s="65">
        <f t="shared" si="6"/>
        <v>916280.9</v>
      </c>
      <c r="H21" s="65">
        <f t="shared" si="7"/>
        <v>916280.9</v>
      </c>
      <c r="I21" s="66"/>
      <c r="J21" s="65">
        <f>H21-K21</f>
        <v>916280.9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4651609.38</v>
      </c>
      <c r="D22" s="64">
        <v>0</v>
      </c>
      <c r="E22" s="64">
        <f>19854</f>
        <v>19854</v>
      </c>
      <c r="F22" s="64">
        <v>0</v>
      </c>
      <c r="G22" s="65">
        <f t="shared" si="6"/>
        <v>4671463.38</v>
      </c>
      <c r="H22" s="65">
        <f t="shared" si="7"/>
        <v>4671463.38</v>
      </c>
      <c r="I22" s="66"/>
      <c r="J22" s="65">
        <f>H22-K22</f>
        <v>0</v>
      </c>
      <c r="K22" s="65">
        <f>+G22</f>
        <v>4671463.38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0.052785</v>
      </c>
      <c r="C23" s="70">
        <v>3166171.46</v>
      </c>
      <c r="D23" s="70">
        <v>0</v>
      </c>
      <c r="E23" s="70">
        <f>13736.53</f>
        <v>13736.53</v>
      </c>
      <c r="F23" s="70">
        <v>0</v>
      </c>
      <c r="G23" s="68">
        <f t="shared" si="6"/>
        <v>3179907.9899999998</v>
      </c>
      <c r="H23" s="68">
        <f t="shared" si="7"/>
        <v>3179907.9899999998</v>
      </c>
      <c r="I23" s="66"/>
      <c r="J23" s="68">
        <f>H23-K23</f>
        <v>3119696.4999999995</v>
      </c>
      <c r="K23" s="68">
        <f>60211.49</f>
        <v>60211.49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14572182.470000003</v>
      </c>
      <c r="D24" s="70">
        <f t="shared" si="8"/>
        <v>0</v>
      </c>
      <c r="E24" s="70">
        <f t="shared" si="8"/>
        <v>62827.82</v>
      </c>
      <c r="F24" s="70">
        <f t="shared" si="8"/>
        <v>0</v>
      </c>
      <c r="G24" s="68">
        <f t="shared" si="8"/>
        <v>14635010.290000001</v>
      </c>
      <c r="H24" s="68">
        <f t="shared" si="8"/>
        <v>14635010.290000001</v>
      </c>
      <c r="I24" s="66"/>
      <c r="J24" s="68">
        <f>SUM(J18:J23)</f>
        <v>9533384.200000001</v>
      </c>
      <c r="K24" s="68">
        <f>SUM(K18:K23)</f>
        <v>5101626.09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2008782.22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4">SUM(C26:F26)</f>
        <v>2015715.56</v>
      </c>
      <c r="H26" s="66">
        <f>1962500+15715.56</f>
        <v>1978215.56</v>
      </c>
      <c r="I26" s="66"/>
      <c r="J26" s="66">
        <v>0</v>
      </c>
      <c r="K26" s="66">
        <f aca="true" t="shared" si="10" ref="K26:K34">G26</f>
        <v>2015715.56</v>
      </c>
      <c r="L26" s="2" t="s">
        <v>38</v>
      </c>
      <c r="M26" s="2" t="s">
        <v>61</v>
      </c>
      <c r="N26" s="79">
        <f aca="true" t="shared" si="11" ref="N26:N33">+G26-H26</f>
        <v>37500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488184</v>
      </c>
      <c r="D27" s="67">
        <v>0</v>
      </c>
      <c r="E27" s="67">
        <f>1364</f>
        <v>1364</v>
      </c>
      <c r="F27" s="67">
        <f>-8184</f>
        <v>-8184</v>
      </c>
      <c r="G27" s="66">
        <f t="shared" si="9"/>
        <v>481364</v>
      </c>
      <c r="H27" s="66">
        <f>472948.8+1364</f>
        <v>474312.8</v>
      </c>
      <c r="I27" s="66"/>
      <c r="J27" s="66">
        <v>0</v>
      </c>
      <c r="K27" s="66">
        <f t="shared" si="10"/>
        <v>481364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15000</v>
      </c>
      <c r="D28" s="67">
        <v>0</v>
      </c>
      <c r="E28" s="67">
        <v>0</v>
      </c>
      <c r="F28" s="67">
        <f>-15000</f>
        <v>-15000</v>
      </c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M28" s="2" t="s">
        <v>61</v>
      </c>
      <c r="N28" s="79">
        <f t="shared" si="11"/>
        <v>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528922.33</v>
      </c>
      <c r="D29" s="67">
        <v>0</v>
      </c>
      <c r="E29" s="67">
        <v>1538.34</v>
      </c>
      <c r="F29" s="67">
        <f>-9230</f>
        <v>-9230</v>
      </c>
      <c r="G29" s="66">
        <f t="shared" si="9"/>
        <v>521230.6699999999</v>
      </c>
      <c r="H29" s="66">
        <f>512850+1230.67</f>
        <v>514080.67</v>
      </c>
      <c r="I29" s="66"/>
      <c r="J29" s="66">
        <v>0</v>
      </c>
      <c r="K29" s="66">
        <f t="shared" si="10"/>
        <v>521230.6699999999</v>
      </c>
      <c r="L29" s="2" t="s">
        <v>46</v>
      </c>
      <c r="M29" s="2" t="s">
        <v>61</v>
      </c>
      <c r="N29" s="79">
        <f t="shared" si="11"/>
        <v>7149.999999999942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9"/>
        <v>1001685.83</v>
      </c>
      <c r="H30" s="66">
        <f>984380+1685.83</f>
        <v>986065.83</v>
      </c>
      <c r="I30" s="66"/>
      <c r="J30" s="66">
        <v>0</v>
      </c>
      <c r="K30" s="66">
        <f t="shared" si="10"/>
        <v>1001685.83</v>
      </c>
      <c r="L30" s="2" t="s">
        <v>47</v>
      </c>
      <c r="M30" s="2" t="s">
        <v>61</v>
      </c>
      <c r="N30" s="79">
        <f t="shared" si="11"/>
        <v>15620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1004697.92</v>
      </c>
      <c r="D31" s="67">
        <v>0</v>
      </c>
      <c r="E31" s="67">
        <f>4270.83</f>
        <v>4270.83</v>
      </c>
      <c r="F31" s="67">
        <v>0</v>
      </c>
      <c r="G31" s="66">
        <f t="shared" si="9"/>
        <v>1008968.75</v>
      </c>
      <c r="H31" s="66">
        <f>999390+8968.75</f>
        <v>1008358.75</v>
      </c>
      <c r="I31" s="66"/>
      <c r="J31" s="66">
        <v>0</v>
      </c>
      <c r="K31" s="66">
        <f t="shared" si="10"/>
        <v>1008968.75</v>
      </c>
      <c r="L31" s="2" t="s">
        <v>83</v>
      </c>
      <c r="M31" s="2" t="s">
        <v>61</v>
      </c>
      <c r="N31" s="79">
        <f t="shared" si="11"/>
        <v>610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1000000</v>
      </c>
      <c r="D32" s="67">
        <v>0</v>
      </c>
      <c r="E32" s="67">
        <f>1665.28</f>
        <v>1665.28</v>
      </c>
      <c r="F32" s="67">
        <v>0</v>
      </c>
      <c r="G32" s="66">
        <f t="shared" si="9"/>
        <v>1001665.28</v>
      </c>
      <c r="H32" s="66">
        <f>999690+1665.28</f>
        <v>1001355.28</v>
      </c>
      <c r="I32" s="66"/>
      <c r="J32" s="66"/>
      <c r="K32" s="66">
        <f t="shared" si="10"/>
        <v>1001665.28</v>
      </c>
      <c r="L32" s="2" t="s">
        <v>102</v>
      </c>
      <c r="M32" s="2" t="s">
        <v>61</v>
      </c>
      <c r="N32" s="79">
        <f t="shared" si="11"/>
        <v>310</v>
      </c>
      <c r="O32" s="2" t="s">
        <v>61</v>
      </c>
    </row>
    <row r="33" spans="1:15" s="2" customFormat="1" ht="15" customHeight="1">
      <c r="A33" s="13" t="s">
        <v>52</v>
      </c>
      <c r="B33" s="14">
        <v>0.0287</v>
      </c>
      <c r="C33" s="67">
        <v>3990.54</v>
      </c>
      <c r="D33" s="67">
        <v>0</v>
      </c>
      <c r="E33" s="67">
        <f>1494.99</f>
        <v>1494.99</v>
      </c>
      <c r="F33" s="67">
        <v>0</v>
      </c>
      <c r="G33" s="66">
        <f t="shared" si="9"/>
        <v>5485.53</v>
      </c>
      <c r="H33" s="66">
        <f>+G33</f>
        <v>5485.53</v>
      </c>
      <c r="I33" s="66"/>
      <c r="J33" s="66">
        <v>0</v>
      </c>
      <c r="K33" s="66">
        <f t="shared" si="10"/>
        <v>5485.53</v>
      </c>
      <c r="L33" s="2" t="s">
        <v>53</v>
      </c>
      <c r="M33" s="2" t="s">
        <v>61</v>
      </c>
      <c r="N33" s="79">
        <f t="shared" si="11"/>
        <v>0</v>
      </c>
      <c r="O33" s="2" t="s">
        <v>61</v>
      </c>
    </row>
    <row r="34" spans="1:13" s="2" customFormat="1" ht="15" customHeight="1">
      <c r="A34" s="13" t="s">
        <v>96</v>
      </c>
      <c r="B34" s="83" t="s">
        <v>97</v>
      </c>
      <c r="C34" s="70">
        <v>505500</v>
      </c>
      <c r="D34" s="70">
        <v>0</v>
      </c>
      <c r="E34" s="70">
        <v>0</v>
      </c>
      <c r="F34" s="70">
        <v>0</v>
      </c>
      <c r="G34" s="68">
        <f t="shared" si="9"/>
        <v>505500</v>
      </c>
      <c r="H34" s="68">
        <f>505500</f>
        <v>505500</v>
      </c>
      <c r="I34" s="66"/>
      <c r="J34" s="68"/>
      <c r="K34" s="68">
        <f t="shared" si="10"/>
        <v>505500</v>
      </c>
      <c r="L34" s="84" t="s">
        <v>98</v>
      </c>
      <c r="M34" s="2" t="s">
        <v>61</v>
      </c>
    </row>
    <row r="35" spans="1:15" ht="15" customHeight="1">
      <c r="A35" s="2" t="s">
        <v>3</v>
      </c>
      <c r="B35" s="10" t="s">
        <v>1</v>
      </c>
      <c r="C35" s="71">
        <f aca="true" t="shared" si="12" ref="C35:H35">SUM(C26:C34)</f>
        <v>6571637.84</v>
      </c>
      <c r="D35" s="71">
        <f t="shared" si="12"/>
        <v>0</v>
      </c>
      <c r="E35" s="71">
        <f t="shared" si="12"/>
        <v>20241.780000000002</v>
      </c>
      <c r="F35" s="71">
        <f t="shared" si="12"/>
        <v>-50264</v>
      </c>
      <c r="G35" s="72">
        <f t="shared" si="12"/>
        <v>6541615.620000001</v>
      </c>
      <c r="H35" s="72">
        <f t="shared" si="12"/>
        <v>6473374.42</v>
      </c>
      <c r="I35" s="73"/>
      <c r="J35" s="72">
        <f>SUM(J26:J26)</f>
        <v>0</v>
      </c>
      <c r="K35" s="72">
        <f>SUM(K26:K34)</f>
        <v>6541615.620000001</v>
      </c>
      <c r="L35" s="2"/>
      <c r="M35" s="2"/>
      <c r="N35" s="15">
        <f>SUM(N26:N33)</f>
        <v>68241.19999999995</v>
      </c>
      <c r="O35" s="2"/>
    </row>
    <row r="36" spans="1:12" ht="15" customHeight="1">
      <c r="A36" s="2"/>
      <c r="B36" s="2"/>
      <c r="C36" s="74"/>
      <c r="D36" s="74"/>
      <c r="E36" s="74"/>
      <c r="F36" s="74"/>
      <c r="G36" s="75"/>
      <c r="H36" s="75"/>
      <c r="I36" s="73"/>
      <c r="J36" s="75"/>
      <c r="K36" s="76"/>
      <c r="L36" s="17"/>
    </row>
    <row r="37" spans="1:13" ht="15" customHeight="1" thickBot="1">
      <c r="A37" s="8" t="s">
        <v>16</v>
      </c>
      <c r="B37" s="8"/>
      <c r="C37" s="77">
        <f aca="true" t="shared" si="13" ref="C37:H37">SUM(C35,C24,C16)</f>
        <v>26610504.91</v>
      </c>
      <c r="D37" s="77">
        <f t="shared" si="13"/>
        <v>17290170.81</v>
      </c>
      <c r="E37" s="77">
        <f t="shared" si="13"/>
        <v>107359.86</v>
      </c>
      <c r="F37" s="77">
        <f t="shared" si="13"/>
        <v>-14829478.309999999</v>
      </c>
      <c r="G37" s="78">
        <f t="shared" si="13"/>
        <v>29178557.270000003</v>
      </c>
      <c r="H37" s="78">
        <f t="shared" si="13"/>
        <v>29110316.07</v>
      </c>
      <c r="I37" s="73"/>
      <c r="J37" s="78">
        <f>SUM(J35,J24,J16)</f>
        <v>15387057.399999999</v>
      </c>
      <c r="K37" s="78">
        <f>SUM(K35,K24,K16)</f>
        <v>13791499.870000001</v>
      </c>
      <c r="M37" s="17"/>
    </row>
    <row r="38" spans="1:11" ht="15" customHeight="1" thickTop="1">
      <c r="A38" s="5"/>
      <c r="B38" s="5"/>
      <c r="C38" s="31"/>
      <c r="D38" s="31"/>
      <c r="E38" s="31"/>
      <c r="F38" s="26"/>
      <c r="G38" s="31"/>
      <c r="H38" s="31"/>
      <c r="I38" s="37"/>
      <c r="J38" s="31"/>
      <c r="K38" s="31"/>
    </row>
    <row r="39" spans="1:11" ht="15" customHeight="1">
      <c r="A39" s="12" t="s">
        <v>31</v>
      </c>
      <c r="C39" s="40" t="s">
        <v>103</v>
      </c>
      <c r="D39" s="40" t="s">
        <v>100</v>
      </c>
      <c r="E39" s="40" t="s">
        <v>67</v>
      </c>
      <c r="F39" s="31"/>
      <c r="G39" s="31"/>
      <c r="H39" s="31"/>
      <c r="I39" s="37"/>
      <c r="J39" s="31"/>
      <c r="K39" s="31"/>
    </row>
    <row r="40" spans="1:11" ht="15" customHeight="1">
      <c r="A40" s="2" t="s">
        <v>30</v>
      </c>
      <c r="B40" s="2"/>
      <c r="C40" s="18">
        <f>0.0494</f>
        <v>0.0494</v>
      </c>
      <c r="D40" s="18">
        <f>0.04955</f>
        <v>0.04955</v>
      </c>
      <c r="E40" s="18">
        <v>0.04155</v>
      </c>
      <c r="F40" s="32"/>
      <c r="G40" s="32"/>
      <c r="H40" s="32"/>
      <c r="I40" s="38"/>
      <c r="J40" s="32"/>
      <c r="K40" s="32"/>
    </row>
    <row r="41" spans="6:11" ht="15" customHeight="1">
      <c r="F41" s="32"/>
      <c r="G41" s="32"/>
      <c r="H41" s="32"/>
      <c r="I41" s="38"/>
      <c r="J41" s="32"/>
      <c r="K41" s="38"/>
    </row>
    <row r="42" spans="1:11" ht="12.75">
      <c r="A42" s="2" t="s">
        <v>27</v>
      </c>
      <c r="K42" s="39"/>
    </row>
    <row r="43" ht="12.75">
      <c r="K43" s="39"/>
    </row>
    <row r="44" spans="1:11" ht="12.75">
      <c r="A44" s="1" t="s">
        <v>26</v>
      </c>
      <c r="K44" s="39"/>
    </row>
    <row r="45" ht="12.75">
      <c r="K45" s="39"/>
    </row>
    <row r="46" spans="1:11" ht="12.75">
      <c r="A46" s="11"/>
      <c r="K46" s="39"/>
    </row>
    <row r="47" spans="1:11" ht="12.75">
      <c r="A47" s="1" t="s">
        <v>28</v>
      </c>
      <c r="K47" s="39"/>
    </row>
    <row r="49" ht="12.75">
      <c r="A49" s="11"/>
    </row>
    <row r="50" ht="12.75">
      <c r="A50" s="1" t="s">
        <v>29</v>
      </c>
    </row>
    <row r="52" ht="9.75" customHeight="1"/>
    <row r="53" spans="1:2" ht="9.75" customHeight="1">
      <c r="A53" s="6" t="s">
        <v>1</v>
      </c>
      <c r="B53" s="6"/>
    </row>
    <row r="54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NOVEMBER 30,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156">
    <pageSetUpPr fitToPage="1"/>
  </sheetPr>
  <dimension ref="A1:O54"/>
  <sheetViews>
    <sheetView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S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19" width="0" style="1" hidden="1" customWidth="1"/>
    <col min="20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103</v>
      </c>
      <c r="D3" s="29" t="s">
        <v>10</v>
      </c>
      <c r="E3" s="29" t="s">
        <v>54</v>
      </c>
      <c r="F3" s="29" t="s">
        <v>11</v>
      </c>
      <c r="G3" s="41" t="s">
        <v>105</v>
      </c>
      <c r="H3" s="41" t="s">
        <v>105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4157323.83</v>
      </c>
      <c r="D5" s="64">
        <f>6188954.31</f>
        <v>6188954.31</v>
      </c>
      <c r="E5" s="64">
        <f>17778.85</f>
        <v>17778.85</v>
      </c>
      <c r="F5" s="64">
        <f>-6071254.64</f>
        <v>-6071254.64</v>
      </c>
      <c r="G5" s="65">
        <f aca="true" t="shared" si="1" ref="G5:G15">SUM(C5:F5)</f>
        <v>4292802.350000001</v>
      </c>
      <c r="H5" s="65">
        <f aca="true" t="shared" si="2" ref="H5:H14">G5</f>
        <v>4292802.350000001</v>
      </c>
      <c r="I5" s="66"/>
      <c r="J5" s="65">
        <f>H5-K5</f>
        <v>4292802.350000001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464376.46</v>
      </c>
      <c r="D6" s="64">
        <f>149844.05</f>
        <v>149844.05</v>
      </c>
      <c r="E6" s="64">
        <f>2394.27</f>
        <v>2394.27</v>
      </c>
      <c r="F6" s="64">
        <f>-3230.48</f>
        <v>-3230.48</v>
      </c>
      <c r="G6" s="65">
        <f t="shared" si="1"/>
        <v>613384.3</v>
      </c>
      <c r="H6" s="65">
        <f t="shared" si="2"/>
        <v>613384.3</v>
      </c>
      <c r="I6" s="66"/>
      <c r="J6" s="65">
        <f>H6</f>
        <v>613384.3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1064384.08</v>
      </c>
      <c r="D7" s="64">
        <f>3302762.55</f>
        <v>3302762.55</v>
      </c>
      <c r="E7" s="64">
        <f>5425.45</f>
        <v>5425.45</v>
      </c>
      <c r="F7" s="64">
        <f>-3894221.64</f>
        <v>-3894221.64</v>
      </c>
      <c r="G7" s="65">
        <f t="shared" si="1"/>
        <v>478350.43999999994</v>
      </c>
      <c r="H7" s="65">
        <f t="shared" si="2"/>
        <v>478350.43999999994</v>
      </c>
      <c r="I7" s="66"/>
      <c r="J7" s="65">
        <f>H7</f>
        <v>478350.43999999994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11424.029999999795</v>
      </c>
      <c r="D8" s="64">
        <f>2745182.44</f>
        <v>2745182.44</v>
      </c>
      <c r="E8" s="64">
        <f>496.23</f>
        <v>496.23</v>
      </c>
      <c r="F8" s="64">
        <f>-2746221.79</f>
        <v>-2746221.79</v>
      </c>
      <c r="G8" s="65">
        <f t="shared" si="1"/>
        <v>10880.909999999683</v>
      </c>
      <c r="H8" s="65">
        <f t="shared" si="2"/>
        <v>10880.909999999683</v>
      </c>
      <c r="I8" s="66"/>
      <c r="J8" s="65">
        <f>H8</f>
        <v>10880.909999999683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2148258.16</v>
      </c>
      <c r="D9" s="64">
        <v>0</v>
      </c>
      <c r="E9" s="64">
        <f>5561.1</f>
        <v>5561.1</v>
      </c>
      <c r="F9" s="64">
        <f>-2000000</f>
        <v>-2000000</v>
      </c>
      <c r="G9" s="65">
        <f t="shared" si="1"/>
        <v>153819.26000000024</v>
      </c>
      <c r="H9" s="65">
        <f t="shared" si="2"/>
        <v>153819.26000000024</v>
      </c>
      <c r="I9" s="66"/>
      <c r="J9" s="65">
        <v>0</v>
      </c>
      <c r="K9" s="65">
        <f>+H9</f>
        <v>153819.26000000024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690.14</v>
      </c>
      <c r="D10" s="64">
        <v>2000</v>
      </c>
      <c r="E10" s="64">
        <f>7.81</f>
        <v>7.81</v>
      </c>
      <c r="F10" s="64">
        <f>-2152.23</f>
        <v>-2152.23</v>
      </c>
      <c r="G10" s="65">
        <f t="shared" si="1"/>
        <v>545.7199999999998</v>
      </c>
      <c r="H10" s="65">
        <f t="shared" si="2"/>
        <v>545.7199999999998</v>
      </c>
      <c r="I10" s="66"/>
      <c r="J10" s="65">
        <f aca="true" t="shared" si="4" ref="J10:J15">H10</f>
        <v>545.7199999999998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25000</v>
      </c>
      <c r="D11" s="64">
        <f>697880.62</f>
        <v>697880.62</v>
      </c>
      <c r="E11" s="64">
        <v>0</v>
      </c>
      <c r="F11" s="64">
        <f>-699148.62</f>
        <v>-699148.62</v>
      </c>
      <c r="G11" s="65">
        <f t="shared" si="1"/>
        <v>23732</v>
      </c>
      <c r="H11" s="65">
        <f t="shared" si="2"/>
        <v>23732</v>
      </c>
      <c r="I11" s="66"/>
      <c r="J11" s="65">
        <f t="shared" si="4"/>
        <v>23732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83349.00000000012</v>
      </c>
      <c r="D12" s="64">
        <f>278908.61</f>
        <v>278908.61</v>
      </c>
      <c r="E12" s="64">
        <v>0</v>
      </c>
      <c r="F12" s="64">
        <f>-337257.61</f>
        <v>-337257.61</v>
      </c>
      <c r="G12" s="65">
        <f t="shared" si="1"/>
        <v>25000.000000000116</v>
      </c>
      <c r="H12" s="65">
        <f t="shared" si="2"/>
        <v>25000.000000000116</v>
      </c>
      <c r="I12" s="66"/>
      <c r="J12" s="65">
        <f t="shared" si="4"/>
        <v>25000.000000000116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22996.45</f>
        <v>22996.45</v>
      </c>
      <c r="E14" s="67">
        <v>0</v>
      </c>
      <c r="F14" s="67">
        <f>-22996.45</f>
        <v>-22996.45</v>
      </c>
      <c r="G14" s="66">
        <f t="shared" si="1"/>
        <v>24999.999999999996</v>
      </c>
      <c r="H14" s="66">
        <f t="shared" si="2"/>
        <v>24999.999999999996</v>
      </c>
      <c r="I14" s="66"/>
      <c r="J14" s="66">
        <f t="shared" si="4"/>
        <v>24999.999999999996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20465.72</v>
      </c>
      <c r="D15" s="67">
        <f>1388+3624.35</f>
        <v>5012.35</v>
      </c>
      <c r="E15" s="67">
        <v>0</v>
      </c>
      <c r="F15" s="67">
        <f>-4000</f>
        <v>-4000</v>
      </c>
      <c r="G15" s="66">
        <f t="shared" si="1"/>
        <v>21478.07</v>
      </c>
      <c r="H15" s="68">
        <f>+G15</f>
        <v>21478.07</v>
      </c>
      <c r="I15" s="66"/>
      <c r="J15" s="68">
        <f t="shared" si="4"/>
        <v>21478.07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8001931.36</v>
      </c>
      <c r="D16" s="69">
        <f t="shared" si="5"/>
        <v>13393541.379999997</v>
      </c>
      <c r="E16" s="69">
        <f t="shared" si="5"/>
        <v>31663.710000000003</v>
      </c>
      <c r="F16" s="69">
        <f t="shared" si="5"/>
        <v>-15780483.459999999</v>
      </c>
      <c r="G16" s="69">
        <f t="shared" si="5"/>
        <v>5646652.99</v>
      </c>
      <c r="H16" s="69">
        <f t="shared" si="5"/>
        <v>5646652.99</v>
      </c>
      <c r="I16" s="66"/>
      <c r="J16" s="68">
        <f>SUM(J5:J15)</f>
        <v>5492833.73</v>
      </c>
      <c r="K16" s="68">
        <f>SUM(K5:K15)</f>
        <v>153819.26000000024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0.052859</v>
      </c>
      <c r="C18" s="64">
        <v>336447.54</v>
      </c>
      <c r="D18" s="64">
        <v>0</v>
      </c>
      <c r="E18" s="64">
        <f>1510.44</f>
        <v>1510.44</v>
      </c>
      <c r="F18" s="64">
        <v>0</v>
      </c>
      <c r="G18" s="65">
        <f aca="true" t="shared" si="6" ref="G18:G23">SUM(C18:F18)</f>
        <v>337957.98</v>
      </c>
      <c r="H18" s="65">
        <f aca="true" t="shared" si="7" ref="H18:H23">G18</f>
        <v>337957.98</v>
      </c>
      <c r="I18" s="66"/>
      <c r="J18" s="65">
        <v>0</v>
      </c>
      <c r="K18" s="65">
        <f>H18</f>
        <v>337957.98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0.052859</v>
      </c>
      <c r="C19" s="64">
        <v>5530910.48</v>
      </c>
      <c r="D19" s="64">
        <v>0</v>
      </c>
      <c r="E19" s="64">
        <f>23781.47+1049.14</f>
        <v>24830.61</v>
      </c>
      <c r="F19" s="64">
        <v>0</v>
      </c>
      <c r="G19" s="65">
        <f t="shared" si="6"/>
        <v>5555741.090000001</v>
      </c>
      <c r="H19" s="65">
        <f t="shared" si="7"/>
        <v>5555741.090000001</v>
      </c>
      <c r="I19" s="66"/>
      <c r="J19" s="65">
        <f>H19-K19</f>
        <v>5522237.410000001</v>
      </c>
      <c r="K19" s="65">
        <f>33503.68</f>
        <v>33503.68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916280.9</v>
      </c>
      <c r="D21" s="64">
        <v>0</v>
      </c>
      <c r="E21" s="64">
        <f>4042.45</f>
        <v>4042.45</v>
      </c>
      <c r="F21" s="64">
        <v>0</v>
      </c>
      <c r="G21" s="65">
        <f t="shared" si="6"/>
        <v>920323.35</v>
      </c>
      <c r="H21" s="65">
        <f t="shared" si="7"/>
        <v>920323.35</v>
      </c>
      <c r="I21" s="66"/>
      <c r="J21" s="65">
        <f>H21-K21</f>
        <v>920323.35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4671463.38</v>
      </c>
      <c r="D22" s="64">
        <v>0</v>
      </c>
      <c r="E22" s="64">
        <f>20609.56</f>
        <v>20609.56</v>
      </c>
      <c r="F22" s="64">
        <v>0</v>
      </c>
      <c r="G22" s="65">
        <f t="shared" si="6"/>
        <v>4692072.9399999995</v>
      </c>
      <c r="H22" s="65">
        <f t="shared" si="7"/>
        <v>4692072.9399999995</v>
      </c>
      <c r="I22" s="66"/>
      <c r="J22" s="65">
        <f>H22-K22</f>
        <v>0</v>
      </c>
      <c r="K22" s="65">
        <f>+G22</f>
        <v>4692072.9399999995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0.052991</v>
      </c>
      <c r="C23" s="70">
        <v>3179907.99</v>
      </c>
      <c r="D23" s="70">
        <v>0</v>
      </c>
      <c r="E23" s="70">
        <f>14311.47</f>
        <v>14311.47</v>
      </c>
      <c r="F23" s="70">
        <v>0</v>
      </c>
      <c r="G23" s="68">
        <f t="shared" si="6"/>
        <v>3194219.4600000004</v>
      </c>
      <c r="H23" s="68">
        <f t="shared" si="7"/>
        <v>3194219.4600000004</v>
      </c>
      <c r="I23" s="66"/>
      <c r="J23" s="68">
        <f>H23-K23</f>
        <v>3133736.9800000004</v>
      </c>
      <c r="K23" s="68">
        <f>60482.48</f>
        <v>60482.48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14635010.290000001</v>
      </c>
      <c r="D24" s="70">
        <f t="shared" si="8"/>
        <v>0</v>
      </c>
      <c r="E24" s="70">
        <f t="shared" si="8"/>
        <v>65304.53</v>
      </c>
      <c r="F24" s="70">
        <f t="shared" si="8"/>
        <v>0</v>
      </c>
      <c r="G24" s="68">
        <f t="shared" si="8"/>
        <v>14700314.82</v>
      </c>
      <c r="H24" s="68">
        <f t="shared" si="8"/>
        <v>14700314.82</v>
      </c>
      <c r="I24" s="66"/>
      <c r="J24" s="68">
        <f>SUM(J18:J23)</f>
        <v>9576297.740000002</v>
      </c>
      <c r="K24" s="68">
        <f>SUM(K18:K23)</f>
        <v>5124017.08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2015715.56</v>
      </c>
      <c r="D26" s="67">
        <v>0</v>
      </c>
      <c r="E26" s="67">
        <f>6933.34</f>
        <v>6933.34</v>
      </c>
      <c r="F26" s="67">
        <v>0</v>
      </c>
      <c r="G26" s="66">
        <f aca="true" t="shared" si="9" ref="G26:G35">SUM(C26:F26)</f>
        <v>2022648.9000000001</v>
      </c>
      <c r="H26" s="66">
        <f>1977648.89</f>
        <v>1977648.89</v>
      </c>
      <c r="I26" s="66"/>
      <c r="J26" s="66">
        <v>0</v>
      </c>
      <c r="K26" s="66">
        <f aca="true" t="shared" si="10" ref="K26:K35">G26</f>
        <v>2022648.9000000001</v>
      </c>
      <c r="L26" s="2" t="s">
        <v>38</v>
      </c>
      <c r="M26" s="2" t="s">
        <v>61</v>
      </c>
      <c r="N26" s="79">
        <f aca="true" t="shared" si="11" ref="N26:N34">+G26-H26</f>
        <v>45000.01000000024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481364</v>
      </c>
      <c r="D27" s="67">
        <v>0</v>
      </c>
      <c r="E27" s="67">
        <f>1364</f>
        <v>1364</v>
      </c>
      <c r="F27" s="67">
        <v>0</v>
      </c>
      <c r="G27" s="66">
        <f t="shared" si="9"/>
        <v>482728</v>
      </c>
      <c r="H27" s="66">
        <f>475676.8</f>
        <v>475676.8</v>
      </c>
      <c r="I27" s="66"/>
      <c r="J27" s="66">
        <v>0</v>
      </c>
      <c r="K27" s="66">
        <f t="shared" si="10"/>
        <v>482728</v>
      </c>
      <c r="L27" s="2" t="s">
        <v>39</v>
      </c>
      <c r="M27" s="2" t="s">
        <v>61</v>
      </c>
      <c r="N27" s="79">
        <f t="shared" si="11"/>
        <v>7051.200000000012</v>
      </c>
      <c r="O27" s="2" t="s">
        <v>61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5" s="2" customFormat="1" ht="15" customHeight="1">
      <c r="A29" s="13" t="s">
        <v>48</v>
      </c>
      <c r="B29" s="14">
        <v>0.0355</v>
      </c>
      <c r="C29" s="67">
        <v>521230.67</v>
      </c>
      <c r="D29" s="67">
        <v>0</v>
      </c>
      <c r="E29" s="67">
        <v>1538.34</v>
      </c>
      <c r="F29" s="67">
        <v>0</v>
      </c>
      <c r="G29" s="66">
        <f t="shared" si="9"/>
        <v>522769.01</v>
      </c>
      <c r="H29" s="66">
        <f>515619.02</f>
        <v>515619.02</v>
      </c>
      <c r="I29" s="66"/>
      <c r="J29" s="66">
        <v>0</v>
      </c>
      <c r="K29" s="66">
        <f t="shared" si="10"/>
        <v>522769.01</v>
      </c>
      <c r="L29" s="2" t="s">
        <v>46</v>
      </c>
      <c r="M29" s="2" t="s">
        <v>61</v>
      </c>
      <c r="N29" s="79">
        <f t="shared" si="11"/>
        <v>7149.989999999991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1001685.83</v>
      </c>
      <c r="D30" s="67">
        <v>0</v>
      </c>
      <c r="E30" s="67">
        <f>2975</f>
        <v>2975</v>
      </c>
      <c r="F30" s="67">
        <v>0</v>
      </c>
      <c r="G30" s="66">
        <f t="shared" si="9"/>
        <v>1004660.83</v>
      </c>
      <c r="H30" s="66">
        <f>987160.83</f>
        <v>987160.83</v>
      </c>
      <c r="I30" s="66"/>
      <c r="J30" s="66">
        <v>0</v>
      </c>
      <c r="K30" s="66">
        <f t="shared" si="10"/>
        <v>1004660.83</v>
      </c>
      <c r="L30" s="2" t="s">
        <v>47</v>
      </c>
      <c r="M30" s="2" t="s">
        <v>61</v>
      </c>
      <c r="N30" s="79">
        <f t="shared" si="11"/>
        <v>17500</v>
      </c>
      <c r="O30" s="2" t="s">
        <v>61</v>
      </c>
    </row>
    <row r="31" spans="1:15" s="2" customFormat="1" ht="15" customHeight="1">
      <c r="A31" s="13" t="s">
        <v>82</v>
      </c>
      <c r="B31" s="14">
        <f>5.125%</f>
        <v>0.05125</v>
      </c>
      <c r="C31" s="67">
        <v>1008968.75</v>
      </c>
      <c r="D31" s="67">
        <v>0</v>
      </c>
      <c r="E31" s="67">
        <f>4270.83</f>
        <v>4270.83</v>
      </c>
      <c r="F31" s="67">
        <v>0</v>
      </c>
      <c r="G31" s="66">
        <f t="shared" si="9"/>
        <v>1013239.58</v>
      </c>
      <c r="H31" s="66">
        <f>1011769.58</f>
        <v>1011769.58</v>
      </c>
      <c r="I31" s="66"/>
      <c r="J31" s="66">
        <v>0</v>
      </c>
      <c r="K31" s="66">
        <f t="shared" si="10"/>
        <v>1013239.58</v>
      </c>
      <c r="L31" s="2" t="s">
        <v>83</v>
      </c>
      <c r="M31" s="2" t="s">
        <v>61</v>
      </c>
      <c r="N31" s="79">
        <f t="shared" si="11"/>
        <v>1470</v>
      </c>
      <c r="O31" s="2" t="s">
        <v>61</v>
      </c>
    </row>
    <row r="32" spans="1:15" s="2" customFormat="1" ht="15" customHeight="1">
      <c r="A32" s="13" t="s">
        <v>101</v>
      </c>
      <c r="B32" s="14">
        <f>5.45%</f>
        <v>0.0545</v>
      </c>
      <c r="C32" s="67">
        <v>1001665.28</v>
      </c>
      <c r="D32" s="67">
        <v>0</v>
      </c>
      <c r="E32" s="67">
        <f>4541.67</f>
        <v>4541.67</v>
      </c>
      <c r="F32" s="67">
        <v>0</v>
      </c>
      <c r="G32" s="66">
        <f t="shared" si="9"/>
        <v>1006206.9500000001</v>
      </c>
      <c r="H32" s="66">
        <f>1005266.94</f>
        <v>1005266.94</v>
      </c>
      <c r="I32" s="66"/>
      <c r="J32" s="66"/>
      <c r="K32" s="66">
        <f t="shared" si="10"/>
        <v>1006206.9500000001</v>
      </c>
      <c r="L32" s="2" t="s">
        <v>102</v>
      </c>
      <c r="M32" s="2" t="s">
        <v>61</v>
      </c>
      <c r="N32" s="79">
        <f t="shared" si="11"/>
        <v>940.0100000001257</v>
      </c>
      <c r="O32" s="2" t="s">
        <v>61</v>
      </c>
    </row>
    <row r="33" spans="1:15" s="2" customFormat="1" ht="15" customHeight="1">
      <c r="A33" s="13" t="s">
        <v>104</v>
      </c>
      <c r="B33" s="14">
        <f>5.28%</f>
        <v>0.0528</v>
      </c>
      <c r="C33" s="67">
        <v>0</v>
      </c>
      <c r="D33" s="67">
        <v>2000000</v>
      </c>
      <c r="E33" s="67">
        <v>880</v>
      </c>
      <c r="F33" s="67"/>
      <c r="G33" s="66">
        <f t="shared" si="9"/>
        <v>2000880</v>
      </c>
      <c r="H33" s="66">
        <v>1995586.67</v>
      </c>
      <c r="I33" s="66"/>
      <c r="J33" s="66"/>
      <c r="K33" s="66">
        <f t="shared" si="10"/>
        <v>2000880</v>
      </c>
      <c r="L33" s="2" t="s">
        <v>106</v>
      </c>
      <c r="M33" s="2" t="s">
        <v>61</v>
      </c>
      <c r="N33" s="79">
        <f t="shared" si="11"/>
        <v>5293.3300000000745</v>
      </c>
      <c r="O33" s="2" t="s">
        <v>61</v>
      </c>
    </row>
    <row r="34" spans="1:15" s="2" customFormat="1" ht="15" customHeight="1">
      <c r="A34" s="13" t="s">
        <v>52</v>
      </c>
      <c r="B34" s="14">
        <v>0.0287</v>
      </c>
      <c r="C34" s="67">
        <v>5485.53</v>
      </c>
      <c r="D34" s="67">
        <v>0</v>
      </c>
      <c r="E34" s="67">
        <f>186.05</f>
        <v>186.05</v>
      </c>
      <c r="F34" s="67">
        <v>0</v>
      </c>
      <c r="G34" s="66">
        <f t="shared" si="9"/>
        <v>5671.58</v>
      </c>
      <c r="H34" s="66">
        <f>+G34</f>
        <v>5671.58</v>
      </c>
      <c r="I34" s="66"/>
      <c r="J34" s="66">
        <v>0</v>
      </c>
      <c r="K34" s="66">
        <f t="shared" si="10"/>
        <v>5671.58</v>
      </c>
      <c r="L34" s="2" t="s">
        <v>53</v>
      </c>
      <c r="M34" s="2" t="s">
        <v>61</v>
      </c>
      <c r="N34" s="79">
        <f t="shared" si="11"/>
        <v>0</v>
      </c>
      <c r="O34" s="2" t="s">
        <v>61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6541615.620000001</v>
      </c>
      <c r="D36" s="71">
        <f t="shared" si="12"/>
        <v>2000000</v>
      </c>
      <c r="E36" s="71">
        <f t="shared" si="12"/>
        <v>22689.23</v>
      </c>
      <c r="F36" s="71">
        <f t="shared" si="12"/>
        <v>0</v>
      </c>
      <c r="G36" s="72">
        <f t="shared" si="12"/>
        <v>8564304.850000001</v>
      </c>
      <c r="H36" s="72">
        <f t="shared" si="12"/>
        <v>8479900.31</v>
      </c>
      <c r="I36" s="73"/>
      <c r="J36" s="72">
        <f>SUM(J26:J26)</f>
        <v>0</v>
      </c>
      <c r="K36" s="72">
        <f>SUM(K26:K35)</f>
        <v>8564304.850000001</v>
      </c>
      <c r="L36" s="2"/>
      <c r="M36" s="2"/>
      <c r="N36" s="15">
        <f>SUM(N26:N35)</f>
        <v>84404.54000000044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29178557.270000003</v>
      </c>
      <c r="D38" s="77">
        <f t="shared" si="13"/>
        <v>15393541.379999997</v>
      </c>
      <c r="E38" s="77">
        <f t="shared" si="13"/>
        <v>119657.47</v>
      </c>
      <c r="F38" s="77">
        <f t="shared" si="13"/>
        <v>-15780483.459999999</v>
      </c>
      <c r="G38" s="78">
        <f t="shared" si="13"/>
        <v>28911272.660000004</v>
      </c>
      <c r="H38" s="78">
        <f t="shared" si="13"/>
        <v>28826868.120000005</v>
      </c>
      <c r="I38" s="73"/>
      <c r="J38" s="78">
        <f>SUM(J36,J24,J16)</f>
        <v>15069131.470000003</v>
      </c>
      <c r="K38" s="78">
        <f>SUM(K36,K24,K16)</f>
        <v>13842141.190000001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105</v>
      </c>
      <c r="D40" s="40" t="s">
        <v>103</v>
      </c>
      <c r="E40" s="40" t="s">
        <v>70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f>0.049</f>
        <v>0.049</v>
      </c>
      <c r="D41" s="18">
        <f>0.0494</f>
        <v>0.0494</v>
      </c>
      <c r="E41" s="18">
        <f>0.0422</f>
        <v>0.0422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1"/>
  <headerFooter alignWithMargins="0">
    <oddHeader>&amp;C&amp;"Arial,Bold"BLINN COLLEGE
INVESTMENT REPORT BY FUND
DECEMBER 31, 2006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157">
    <pageSetUpPr fitToPage="1"/>
  </sheetPr>
  <dimension ref="A1:P54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:W16384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4.00390625" style="1" hidden="1" customWidth="1"/>
    <col min="13" max="13" width="0" style="1" hidden="1" customWidth="1"/>
    <col min="14" max="14" width="13.00390625" style="1" hidden="1" customWidth="1"/>
    <col min="15" max="23" width="0" style="1" hidden="1" customWidth="1"/>
    <col min="24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105</v>
      </c>
      <c r="D3" s="29" t="s">
        <v>10</v>
      </c>
      <c r="E3" s="29" t="s">
        <v>54</v>
      </c>
      <c r="F3" s="29" t="s">
        <v>11</v>
      </c>
      <c r="G3" s="41" t="s">
        <v>107</v>
      </c>
      <c r="H3" s="41" t="s">
        <v>107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 aca="true" t="shared" si="0" ref="B5:B10">5.12%</f>
        <v>0.0512</v>
      </c>
      <c r="C5" s="64">
        <v>4292802.35</v>
      </c>
      <c r="D5" s="64">
        <f>9847416.81</f>
        <v>9847416.81</v>
      </c>
      <c r="E5" s="64">
        <f>19938.72</f>
        <v>19938.72</v>
      </c>
      <c r="F5" s="64">
        <f>-3839595.94</f>
        <v>-3839595.94</v>
      </c>
      <c r="G5" s="65">
        <f aca="true" t="shared" si="1" ref="G5:G15">SUM(C5:F5)</f>
        <v>10320561.940000001</v>
      </c>
      <c r="H5" s="65">
        <f aca="true" t="shared" si="2" ref="H5:H14">G5</f>
        <v>10320561.940000001</v>
      </c>
      <c r="I5" s="66"/>
      <c r="J5" s="65">
        <f>H5-K5</f>
        <v>10320561.940000001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 t="shared" si="0"/>
        <v>0.0512</v>
      </c>
      <c r="C6" s="64">
        <v>613384.3</v>
      </c>
      <c r="D6" s="64">
        <f>5162548.22</f>
        <v>5162548.22</v>
      </c>
      <c r="E6" s="64">
        <f>2720.27</f>
        <v>2720.27</v>
      </c>
      <c r="F6" s="64">
        <f>-5526684.78</f>
        <v>-5526684.78</v>
      </c>
      <c r="G6" s="65">
        <f t="shared" si="1"/>
        <v>251968.00999999885</v>
      </c>
      <c r="H6" s="65">
        <f t="shared" si="2"/>
        <v>251968.00999999885</v>
      </c>
      <c r="I6" s="66"/>
      <c r="J6" s="65">
        <f>H6</f>
        <v>251968.00999999885</v>
      </c>
      <c r="K6" s="65">
        <v>0</v>
      </c>
      <c r="L6" s="25">
        <f aca="true" t="shared" si="3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 t="shared" si="0"/>
        <v>0.0512</v>
      </c>
      <c r="C7" s="64">
        <v>478350.44</v>
      </c>
      <c r="D7" s="64">
        <f>1749524.77</f>
        <v>1749524.77</v>
      </c>
      <c r="E7" s="64">
        <f>1980.68</f>
        <v>1980.68</v>
      </c>
      <c r="F7" s="64">
        <f>-1532612.74</f>
        <v>-1532612.74</v>
      </c>
      <c r="G7" s="65">
        <f t="shared" si="1"/>
        <v>697243.1500000001</v>
      </c>
      <c r="H7" s="65">
        <f t="shared" si="2"/>
        <v>697243.1500000001</v>
      </c>
      <c r="I7" s="66"/>
      <c r="J7" s="65">
        <f>H7</f>
        <v>697243.1500000001</v>
      </c>
      <c r="K7" s="65">
        <v>0</v>
      </c>
      <c r="L7" s="25">
        <f t="shared" si="3"/>
        <v>0</v>
      </c>
      <c r="M7" s="13" t="s">
        <v>61</v>
      </c>
    </row>
    <row r="8" spans="1:13" s="13" customFormat="1" ht="15" customHeight="1">
      <c r="A8" s="13" t="s">
        <v>25</v>
      </c>
      <c r="B8" s="14">
        <f t="shared" si="0"/>
        <v>0.0512</v>
      </c>
      <c r="C8" s="64">
        <v>10880.909999999683</v>
      </c>
      <c r="D8" s="64">
        <f>2070792.81</f>
        <v>2070792.81</v>
      </c>
      <c r="E8" s="64">
        <f>327.25</f>
        <v>327.25</v>
      </c>
      <c r="F8" s="64">
        <f>-2071412.64</f>
        <v>-2071412.64</v>
      </c>
      <c r="G8" s="65">
        <f t="shared" si="1"/>
        <v>10588.329999999842</v>
      </c>
      <c r="H8" s="65">
        <f t="shared" si="2"/>
        <v>10588.329999999842</v>
      </c>
      <c r="I8" s="66"/>
      <c r="J8" s="65">
        <f>H8</f>
        <v>10588.329999999842</v>
      </c>
      <c r="K8" s="65">
        <v>0</v>
      </c>
      <c r="L8" s="25">
        <f t="shared" si="3"/>
        <v>0</v>
      </c>
      <c r="M8" s="13" t="s">
        <v>61</v>
      </c>
    </row>
    <row r="9" spans="1:13" s="13" customFormat="1" ht="15" customHeight="1">
      <c r="A9" s="13" t="s">
        <v>57</v>
      </c>
      <c r="B9" s="14">
        <f t="shared" si="0"/>
        <v>0.0512</v>
      </c>
      <c r="C9" s="64">
        <v>153819.26</v>
      </c>
      <c r="D9" s="64">
        <v>0</v>
      </c>
      <c r="E9" s="64">
        <f>653.2</f>
        <v>653.2</v>
      </c>
      <c r="F9" s="64">
        <v>0</v>
      </c>
      <c r="G9" s="65">
        <f t="shared" si="1"/>
        <v>154472.46000000002</v>
      </c>
      <c r="H9" s="65">
        <f t="shared" si="2"/>
        <v>154472.46000000002</v>
      </c>
      <c r="I9" s="66"/>
      <c r="J9" s="65">
        <v>0</v>
      </c>
      <c r="K9" s="65">
        <f>+H9</f>
        <v>154472.46000000002</v>
      </c>
      <c r="L9" s="25">
        <f t="shared" si="3"/>
        <v>0</v>
      </c>
      <c r="M9" s="13" t="s">
        <v>61</v>
      </c>
    </row>
    <row r="10" spans="1:13" s="13" customFormat="1" ht="15" customHeight="1">
      <c r="A10" s="13" t="s">
        <v>42</v>
      </c>
      <c r="B10" s="14">
        <f t="shared" si="0"/>
        <v>0.0512</v>
      </c>
      <c r="C10" s="64">
        <v>545.72</v>
      </c>
      <c r="D10" s="64">
        <f>2500</f>
        <v>2500</v>
      </c>
      <c r="E10" s="64">
        <f>8.88</f>
        <v>8.88</v>
      </c>
      <c r="F10" s="64">
        <f>-1722.46</f>
        <v>-1722.46</v>
      </c>
      <c r="G10" s="65">
        <f t="shared" si="1"/>
        <v>1332.1400000000003</v>
      </c>
      <c r="H10" s="65">
        <f t="shared" si="2"/>
        <v>1332.1400000000003</v>
      </c>
      <c r="I10" s="66"/>
      <c r="J10" s="65">
        <f aca="true" t="shared" si="4" ref="J10:J15">H10</f>
        <v>1332.1400000000003</v>
      </c>
      <c r="K10" s="65">
        <v>0</v>
      </c>
      <c r="L10" s="25">
        <f t="shared" si="3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23732</v>
      </c>
      <c r="D11" s="64">
        <f>1508610</f>
        <v>1508610</v>
      </c>
      <c r="E11" s="64">
        <v>0</v>
      </c>
      <c r="F11" s="64">
        <f>-1507342</f>
        <v>-1507342</v>
      </c>
      <c r="G11" s="65">
        <f t="shared" si="1"/>
        <v>25000</v>
      </c>
      <c r="H11" s="65">
        <f t="shared" si="2"/>
        <v>25000</v>
      </c>
      <c r="I11" s="66"/>
      <c r="J11" s="65">
        <f t="shared" si="4"/>
        <v>25000</v>
      </c>
      <c r="K11" s="65">
        <v>0</v>
      </c>
      <c r="L11" s="25">
        <f t="shared" si="3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25000.000000000116</v>
      </c>
      <c r="D12" s="64">
        <f>753176.99</f>
        <v>753176.99</v>
      </c>
      <c r="E12" s="64">
        <v>0</v>
      </c>
      <c r="F12" s="64">
        <f>-751250.99</f>
        <v>-751250.99</v>
      </c>
      <c r="G12" s="65">
        <f t="shared" si="1"/>
        <v>26926.000000000116</v>
      </c>
      <c r="H12" s="65">
        <f t="shared" si="2"/>
        <v>26926.000000000116</v>
      </c>
      <c r="I12" s="66"/>
      <c r="J12" s="65">
        <f t="shared" si="4"/>
        <v>26926.000000000116</v>
      </c>
      <c r="K12" s="65">
        <v>0</v>
      </c>
      <c r="L12" s="25">
        <f t="shared" si="3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1659.94</v>
      </c>
      <c r="D13" s="64">
        <v>0</v>
      </c>
      <c r="E13" s="64">
        <v>0</v>
      </c>
      <c r="F13" s="64">
        <v>0</v>
      </c>
      <c r="G13" s="65">
        <f t="shared" si="1"/>
        <v>1659.94</v>
      </c>
      <c r="H13" s="65">
        <f t="shared" si="2"/>
        <v>1659.94</v>
      </c>
      <c r="I13" s="66"/>
      <c r="J13" s="65">
        <f t="shared" si="4"/>
        <v>1659.94</v>
      </c>
      <c r="K13" s="65">
        <v>0</v>
      </c>
      <c r="L13" s="25">
        <f t="shared" si="3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25000</v>
      </c>
      <c r="D14" s="67">
        <f>86837.59</f>
        <v>86837.59</v>
      </c>
      <c r="E14" s="67">
        <v>0</v>
      </c>
      <c r="F14" s="67">
        <f>-86837.59</f>
        <v>-86837.59</v>
      </c>
      <c r="G14" s="66">
        <f t="shared" si="1"/>
        <v>25000</v>
      </c>
      <c r="H14" s="66">
        <f t="shared" si="2"/>
        <v>25000</v>
      </c>
      <c r="I14" s="66"/>
      <c r="J14" s="66">
        <f t="shared" si="4"/>
        <v>25000</v>
      </c>
      <c r="K14" s="66">
        <v>0</v>
      </c>
      <c r="L14" s="25">
        <f t="shared" si="3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21478.07</v>
      </c>
      <c r="D15" s="67">
        <f>1923.48+5022.95+7523.33+4214.99+2745.1+3092+6916</f>
        <v>31437.85</v>
      </c>
      <c r="E15" s="67">
        <v>0</v>
      </c>
      <c r="F15" s="67">
        <v>0</v>
      </c>
      <c r="G15" s="66">
        <f t="shared" si="1"/>
        <v>52915.92</v>
      </c>
      <c r="H15" s="68">
        <f>+G15</f>
        <v>52915.92</v>
      </c>
      <c r="I15" s="66"/>
      <c r="J15" s="68">
        <f t="shared" si="4"/>
        <v>52915.92</v>
      </c>
      <c r="K15" s="68">
        <v>0</v>
      </c>
      <c r="L15" s="25">
        <f t="shared" si="3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5" ref="C16:H16">SUM(C5:C15)</f>
        <v>5646652.99</v>
      </c>
      <c r="D16" s="69">
        <f t="shared" si="5"/>
        <v>21212845.04</v>
      </c>
      <c r="E16" s="69">
        <f t="shared" si="5"/>
        <v>25629.000000000004</v>
      </c>
      <c r="F16" s="69">
        <f t="shared" si="5"/>
        <v>-15317459.140000002</v>
      </c>
      <c r="G16" s="69">
        <f t="shared" si="5"/>
        <v>11567667.89</v>
      </c>
      <c r="H16" s="69">
        <f t="shared" si="5"/>
        <v>11567667.89</v>
      </c>
      <c r="I16" s="66"/>
      <c r="J16" s="68">
        <f>SUM(J5:J15)</f>
        <v>11413195.43</v>
      </c>
      <c r="K16" s="68">
        <f>SUM(K5:K15)</f>
        <v>154472.46000000002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0.052718</v>
      </c>
      <c r="C18" s="64">
        <v>337957.98</v>
      </c>
      <c r="D18" s="64">
        <v>0</v>
      </c>
      <c r="E18" s="64">
        <f>1513.21</f>
        <v>1513.21</v>
      </c>
      <c r="F18" s="64">
        <v>0</v>
      </c>
      <c r="G18" s="65">
        <f aca="true" t="shared" si="6" ref="G18:G23">SUM(C18:F18)</f>
        <v>339471.19</v>
      </c>
      <c r="H18" s="65">
        <f aca="true" t="shared" si="7" ref="H18:H23">G18</f>
        <v>339471.19</v>
      </c>
      <c r="I18" s="66"/>
      <c r="J18" s="65">
        <v>0</v>
      </c>
      <c r="K18" s="65">
        <f>H18</f>
        <v>339471.19</v>
      </c>
      <c r="L18" s="2" t="s">
        <v>36</v>
      </c>
      <c r="M18" s="13" t="s">
        <v>61</v>
      </c>
      <c r="N18" s="2"/>
    </row>
    <row r="19" spans="1:14" ht="15" customHeight="1">
      <c r="A19" s="13" t="s">
        <v>33</v>
      </c>
      <c r="B19" s="22">
        <v>0.052718</v>
      </c>
      <c r="C19" s="64">
        <v>5555741.090000001</v>
      </c>
      <c r="D19" s="64">
        <v>0</v>
      </c>
      <c r="E19" s="64">
        <f>24875.56</f>
        <v>24875.56</v>
      </c>
      <c r="F19" s="64">
        <v>0</v>
      </c>
      <c r="G19" s="65">
        <f t="shared" si="6"/>
        <v>5580616.65</v>
      </c>
      <c r="H19" s="65">
        <f t="shared" si="7"/>
        <v>5580616.65</v>
      </c>
      <c r="I19" s="66"/>
      <c r="J19" s="65">
        <f>H19-K19</f>
        <v>5547112.970000001</v>
      </c>
      <c r="K19" s="65">
        <f>33503.68</f>
        <v>33503.68</v>
      </c>
      <c r="L19" s="2" t="s">
        <v>65</v>
      </c>
      <c r="M19" s="13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6"/>
        <v>0</v>
      </c>
      <c r="H20" s="65">
        <f t="shared" si="7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0.0519</v>
      </c>
      <c r="C21" s="64">
        <v>920323.35</v>
      </c>
      <c r="D21" s="64">
        <v>0</v>
      </c>
      <c r="E21" s="64">
        <f>4054.82</f>
        <v>4054.82</v>
      </c>
      <c r="F21" s="64">
        <v>0</v>
      </c>
      <c r="G21" s="65">
        <f t="shared" si="6"/>
        <v>924378.1699999999</v>
      </c>
      <c r="H21" s="65">
        <f t="shared" si="7"/>
        <v>924378.1699999999</v>
      </c>
      <c r="I21" s="66"/>
      <c r="J21" s="65">
        <f>H21-K21</f>
        <v>924378.1699999999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0.0519</v>
      </c>
      <c r="C22" s="64">
        <v>4692072.94</v>
      </c>
      <c r="D22" s="64">
        <v>0</v>
      </c>
      <c r="E22" s="64">
        <f>20672.62</f>
        <v>20672.62</v>
      </c>
      <c r="F22" s="64">
        <v>0</v>
      </c>
      <c r="G22" s="65">
        <f t="shared" si="6"/>
        <v>4712745.5600000005</v>
      </c>
      <c r="H22" s="65">
        <f t="shared" si="7"/>
        <v>4712745.5600000005</v>
      </c>
      <c r="I22" s="66"/>
      <c r="J22" s="65">
        <f>H22-K22</f>
        <v>0</v>
      </c>
      <c r="K22" s="65">
        <f>+G22</f>
        <v>4712745.5600000005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v>0.05292</v>
      </c>
      <c r="C23" s="70">
        <v>3194219.46</v>
      </c>
      <c r="D23" s="70">
        <v>0</v>
      </c>
      <c r="E23" s="70">
        <f>14356.64</f>
        <v>14356.64</v>
      </c>
      <c r="F23" s="70">
        <v>0</v>
      </c>
      <c r="G23" s="68">
        <f t="shared" si="6"/>
        <v>3208576.1</v>
      </c>
      <c r="H23" s="68">
        <f t="shared" si="7"/>
        <v>3208576.1</v>
      </c>
      <c r="I23" s="66"/>
      <c r="J23" s="68">
        <f>H23-K23</f>
        <v>3147821.7800000003</v>
      </c>
      <c r="K23" s="68">
        <f>60754.32</f>
        <v>60754.32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8" ref="C24:H24">SUM(C18:C23)</f>
        <v>14700314.82</v>
      </c>
      <c r="D24" s="70">
        <f t="shared" si="8"/>
        <v>0</v>
      </c>
      <c r="E24" s="70">
        <f t="shared" si="8"/>
        <v>65472.85</v>
      </c>
      <c r="F24" s="70">
        <f t="shared" si="8"/>
        <v>0</v>
      </c>
      <c r="G24" s="68">
        <f t="shared" si="8"/>
        <v>14765787.67</v>
      </c>
      <c r="H24" s="68">
        <f t="shared" si="8"/>
        <v>14765787.67</v>
      </c>
      <c r="I24" s="66"/>
      <c r="J24" s="68">
        <f>SUM(J18:J23)</f>
        <v>9619312.920000002</v>
      </c>
      <c r="K24" s="68">
        <f>SUM(K18:K23)</f>
        <v>5146474.750000001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v>2022648.9</v>
      </c>
      <c r="D26" s="67">
        <v>0</v>
      </c>
      <c r="E26" s="67">
        <f>6933.33</f>
        <v>6933.33</v>
      </c>
      <c r="F26" s="67">
        <v>0</v>
      </c>
      <c r="G26" s="66">
        <f aca="true" t="shared" si="9" ref="G26:G35">SUM(C26:F26)</f>
        <v>2029582.23</v>
      </c>
      <c r="H26" s="66">
        <f>1952500+29582.22</f>
        <v>1982082.22</v>
      </c>
      <c r="I26" s="66"/>
      <c r="J26" s="66">
        <v>0</v>
      </c>
      <c r="K26" s="66">
        <f aca="true" t="shared" si="10" ref="K26:K35">G26</f>
        <v>2029582.23</v>
      </c>
      <c r="L26" s="2" t="s">
        <v>38</v>
      </c>
      <c r="N26" s="79">
        <f aca="true" t="shared" si="11" ref="N26:N34">+G26-H26</f>
        <v>47500.01000000001</v>
      </c>
    </row>
    <row r="27" spans="1:14" s="2" customFormat="1" ht="15" customHeight="1">
      <c r="A27" s="13" t="s">
        <v>45</v>
      </c>
      <c r="B27" s="14">
        <v>0.0341</v>
      </c>
      <c r="C27" s="67">
        <v>482728</v>
      </c>
      <c r="D27" s="67">
        <v>0</v>
      </c>
      <c r="E27" s="67">
        <f>1364</f>
        <v>1364</v>
      </c>
      <c r="F27" s="67">
        <v>0</v>
      </c>
      <c r="G27" s="66">
        <f t="shared" si="9"/>
        <v>484092</v>
      </c>
      <c r="H27" s="66">
        <f>473400+4092</f>
        <v>477492</v>
      </c>
      <c r="I27" s="66"/>
      <c r="J27" s="66">
        <v>0</v>
      </c>
      <c r="K27" s="66">
        <f t="shared" si="10"/>
        <v>484092</v>
      </c>
      <c r="L27" s="2" t="s">
        <v>39</v>
      </c>
      <c r="N27" s="79">
        <f t="shared" si="11"/>
        <v>6600</v>
      </c>
    </row>
    <row r="28" spans="1:14" s="2" customFormat="1" ht="15" customHeight="1" hidden="1">
      <c r="A28" s="13" t="s">
        <v>44</v>
      </c>
      <c r="B28" s="14">
        <v>0.03</v>
      </c>
      <c r="C28" s="67">
        <v>0</v>
      </c>
      <c r="D28" s="67">
        <v>0</v>
      </c>
      <c r="E28" s="67">
        <v>0</v>
      </c>
      <c r="F28" s="67"/>
      <c r="G28" s="66">
        <f t="shared" si="9"/>
        <v>0</v>
      </c>
      <c r="H28" s="66">
        <v>0</v>
      </c>
      <c r="I28" s="66"/>
      <c r="J28" s="66">
        <v>0</v>
      </c>
      <c r="K28" s="66">
        <f t="shared" si="10"/>
        <v>0</v>
      </c>
      <c r="L28" s="2" t="s">
        <v>41</v>
      </c>
      <c r="N28" s="79">
        <f t="shared" si="11"/>
        <v>0</v>
      </c>
    </row>
    <row r="29" spans="1:14" s="2" customFormat="1" ht="15" customHeight="1">
      <c r="A29" s="13" t="s">
        <v>48</v>
      </c>
      <c r="B29" s="14">
        <v>0.0355</v>
      </c>
      <c r="C29" s="67">
        <v>522769.01</v>
      </c>
      <c r="D29" s="67">
        <v>0</v>
      </c>
      <c r="E29" s="67">
        <f>1538.33</f>
        <v>1538.33</v>
      </c>
      <c r="F29" s="67">
        <v>0</v>
      </c>
      <c r="G29" s="66">
        <f t="shared" si="9"/>
        <v>524307.34</v>
      </c>
      <c r="H29" s="66">
        <f>513338.8+4307.33</f>
        <v>517646.13</v>
      </c>
      <c r="I29" s="66"/>
      <c r="J29" s="66">
        <v>0</v>
      </c>
      <c r="K29" s="66">
        <f t="shared" si="10"/>
        <v>524307.34</v>
      </c>
      <c r="L29" s="2" t="s">
        <v>46</v>
      </c>
      <c r="N29" s="79">
        <f t="shared" si="11"/>
        <v>6661.209999999963</v>
      </c>
    </row>
    <row r="30" spans="1:14" s="2" customFormat="1" ht="15" customHeight="1">
      <c r="A30" s="13" t="s">
        <v>49</v>
      </c>
      <c r="B30" s="14">
        <v>0.0357</v>
      </c>
      <c r="C30" s="67">
        <v>1004660.83</v>
      </c>
      <c r="D30" s="67">
        <v>0</v>
      </c>
      <c r="E30" s="67">
        <f>2975</f>
        <v>2975</v>
      </c>
      <c r="F30" s="67">
        <v>0</v>
      </c>
      <c r="G30" s="66">
        <f t="shared" si="9"/>
        <v>1007635.83</v>
      </c>
      <c r="H30" s="66">
        <f>983130+7635.83</f>
        <v>990765.83</v>
      </c>
      <c r="I30" s="66"/>
      <c r="J30" s="66">
        <v>0</v>
      </c>
      <c r="K30" s="66">
        <f t="shared" si="10"/>
        <v>1007635.83</v>
      </c>
      <c r="L30" s="2" t="s">
        <v>47</v>
      </c>
      <c r="N30" s="79">
        <f t="shared" si="11"/>
        <v>16870</v>
      </c>
    </row>
    <row r="31" spans="1:14" s="2" customFormat="1" ht="15" customHeight="1">
      <c r="A31" s="13" t="s">
        <v>82</v>
      </c>
      <c r="B31" s="14">
        <f>5.125%</f>
        <v>0.05125</v>
      </c>
      <c r="C31" s="67">
        <v>1013239.58</v>
      </c>
      <c r="D31" s="67">
        <v>0</v>
      </c>
      <c r="E31" s="67">
        <f>4270.84</f>
        <v>4270.84</v>
      </c>
      <c r="F31" s="67">
        <v>0</v>
      </c>
      <c r="G31" s="66">
        <f t="shared" si="9"/>
        <v>1017510.4199999999</v>
      </c>
      <c r="H31" s="66">
        <f>998440+17510.42</f>
        <v>1015950.42</v>
      </c>
      <c r="I31" s="66"/>
      <c r="J31" s="66">
        <v>0</v>
      </c>
      <c r="K31" s="66">
        <f t="shared" si="10"/>
        <v>1017510.4199999999</v>
      </c>
      <c r="L31" s="2" t="s">
        <v>83</v>
      </c>
      <c r="N31" s="79">
        <f t="shared" si="11"/>
        <v>1559.9999999998836</v>
      </c>
    </row>
    <row r="32" spans="1:14" s="2" customFormat="1" ht="15" customHeight="1">
      <c r="A32" s="13" t="s">
        <v>101</v>
      </c>
      <c r="B32" s="14">
        <f>5.45%</f>
        <v>0.0545</v>
      </c>
      <c r="C32" s="67">
        <v>1006206.95</v>
      </c>
      <c r="D32" s="67">
        <v>0</v>
      </c>
      <c r="E32" s="67">
        <f>4541.67</f>
        <v>4541.67</v>
      </c>
      <c r="F32" s="67">
        <v>0</v>
      </c>
      <c r="G32" s="66">
        <f t="shared" si="9"/>
        <v>1010748.62</v>
      </c>
      <c r="H32" s="66">
        <f>998750+10748.61</f>
        <v>1009498.61</v>
      </c>
      <c r="I32" s="66"/>
      <c r="J32" s="66"/>
      <c r="K32" s="66">
        <f t="shared" si="10"/>
        <v>1010748.62</v>
      </c>
      <c r="L32" s="2" t="s">
        <v>102</v>
      </c>
      <c r="N32" s="79">
        <f t="shared" si="11"/>
        <v>1250.0100000000093</v>
      </c>
    </row>
    <row r="33" spans="1:16" s="2" customFormat="1" ht="15" customHeight="1">
      <c r="A33" s="13" t="s">
        <v>104</v>
      </c>
      <c r="B33" s="14">
        <f>5.28%</f>
        <v>0.0528</v>
      </c>
      <c r="C33" s="67">
        <v>2000880</v>
      </c>
      <c r="D33" s="67">
        <v>0</v>
      </c>
      <c r="E33" s="67">
        <f>8800</f>
        <v>8800</v>
      </c>
      <c r="F33" s="67"/>
      <c r="G33" s="66">
        <f t="shared" si="9"/>
        <v>2009680</v>
      </c>
      <c r="H33" s="66">
        <f>1994380+9386.67</f>
        <v>2003766.67</v>
      </c>
      <c r="I33" s="66"/>
      <c r="J33" s="66"/>
      <c r="K33" s="66">
        <f t="shared" si="10"/>
        <v>2009680</v>
      </c>
      <c r="L33" s="2" t="s">
        <v>106</v>
      </c>
      <c r="N33" s="79">
        <f t="shared" si="11"/>
        <v>5913.3300000000745</v>
      </c>
      <c r="O33" s="2">
        <v>5620</v>
      </c>
      <c r="P33" s="79">
        <f>+N33-O33</f>
        <v>293.3300000000745</v>
      </c>
    </row>
    <row r="34" spans="1:14" s="2" customFormat="1" ht="15" customHeight="1">
      <c r="A34" s="13" t="s">
        <v>52</v>
      </c>
      <c r="B34" s="14">
        <v>0.0287</v>
      </c>
      <c r="C34" s="67">
        <v>5671.58</v>
      </c>
      <c r="D34" s="67">
        <v>0</v>
      </c>
      <c r="E34" s="67">
        <f>13.41</f>
        <v>13.41</v>
      </c>
      <c r="F34" s="67">
        <v>0</v>
      </c>
      <c r="G34" s="66">
        <f t="shared" si="9"/>
        <v>5684.99</v>
      </c>
      <c r="H34" s="66">
        <f>+G34</f>
        <v>5684.99</v>
      </c>
      <c r="I34" s="66"/>
      <c r="J34" s="66">
        <v>0</v>
      </c>
      <c r="K34" s="66">
        <f t="shared" si="10"/>
        <v>5684.99</v>
      </c>
      <c r="L34" s="2" t="s">
        <v>53</v>
      </c>
      <c r="N34" s="79">
        <f t="shared" si="11"/>
        <v>0</v>
      </c>
    </row>
    <row r="35" spans="1:12" s="2" customFormat="1" ht="15" customHeight="1">
      <c r="A35" s="13" t="s">
        <v>96</v>
      </c>
      <c r="B35" s="83" t="s">
        <v>97</v>
      </c>
      <c r="C35" s="70">
        <v>505500</v>
      </c>
      <c r="D35" s="70">
        <v>0</v>
      </c>
      <c r="E35" s="70">
        <v>0</v>
      </c>
      <c r="F35" s="70">
        <v>0</v>
      </c>
      <c r="G35" s="68">
        <f t="shared" si="9"/>
        <v>505500</v>
      </c>
      <c r="H35" s="68">
        <f>505500</f>
        <v>505500</v>
      </c>
      <c r="I35" s="66"/>
      <c r="J35" s="68"/>
      <c r="K35" s="68">
        <f t="shared" si="10"/>
        <v>505500</v>
      </c>
      <c r="L35" s="84" t="s">
        <v>98</v>
      </c>
    </row>
    <row r="36" spans="1:15" ht="15" customHeight="1">
      <c r="A36" s="2" t="s">
        <v>3</v>
      </c>
      <c r="B36" s="10" t="s">
        <v>1</v>
      </c>
      <c r="C36" s="71">
        <f aca="true" t="shared" si="12" ref="C36:H36">SUM(C26:C35)</f>
        <v>8564304.850000001</v>
      </c>
      <c r="D36" s="71">
        <f t="shared" si="12"/>
        <v>0</v>
      </c>
      <c r="E36" s="71">
        <f t="shared" si="12"/>
        <v>30436.579999999998</v>
      </c>
      <c r="F36" s="71">
        <f t="shared" si="12"/>
        <v>0</v>
      </c>
      <c r="G36" s="72">
        <f t="shared" si="12"/>
        <v>8594741.43</v>
      </c>
      <c r="H36" s="72">
        <f t="shared" si="12"/>
        <v>8508386.870000001</v>
      </c>
      <c r="I36" s="73"/>
      <c r="J36" s="72">
        <f>SUM(J26:J26)</f>
        <v>0</v>
      </c>
      <c r="K36" s="72">
        <f>SUM(K26:K35)</f>
        <v>8594741.43</v>
      </c>
      <c r="L36" s="2"/>
      <c r="M36" s="2"/>
      <c r="N36" s="15">
        <f>SUM(N26:N35)</f>
        <v>86354.55999999994</v>
      </c>
      <c r="O36" s="2"/>
    </row>
    <row r="37" spans="1:12" ht="15" customHeight="1">
      <c r="A37" s="2"/>
      <c r="B37" s="2"/>
      <c r="C37" s="74"/>
      <c r="D37" s="74"/>
      <c r="E37" s="74"/>
      <c r="F37" s="74"/>
      <c r="G37" s="75"/>
      <c r="H37" s="75"/>
      <c r="I37" s="73"/>
      <c r="J37" s="75"/>
      <c r="K37" s="76"/>
      <c r="L37" s="17"/>
    </row>
    <row r="38" spans="1:13" ht="15" customHeight="1" thickBot="1">
      <c r="A38" s="8" t="s">
        <v>16</v>
      </c>
      <c r="B38" s="8"/>
      <c r="C38" s="77">
        <f aca="true" t="shared" si="13" ref="C38:H38">SUM(C36,C24,C16)</f>
        <v>28911272.660000004</v>
      </c>
      <c r="D38" s="77">
        <f t="shared" si="13"/>
        <v>21212845.04</v>
      </c>
      <c r="E38" s="77">
        <f t="shared" si="13"/>
        <v>121538.43</v>
      </c>
      <c r="F38" s="77">
        <f t="shared" si="13"/>
        <v>-15317459.140000002</v>
      </c>
      <c r="G38" s="78">
        <f t="shared" si="13"/>
        <v>34928196.99</v>
      </c>
      <c r="H38" s="78">
        <f t="shared" si="13"/>
        <v>34841842.43</v>
      </c>
      <c r="I38" s="73"/>
      <c r="J38" s="78">
        <f>SUM(J36,J24,J16)</f>
        <v>21032508.35</v>
      </c>
      <c r="K38" s="78">
        <f>SUM(K36,K24,K16)</f>
        <v>13895688.64</v>
      </c>
      <c r="M38" s="17"/>
    </row>
    <row r="39" spans="1:11" ht="15" customHeight="1" thickTop="1">
      <c r="A39" s="5"/>
      <c r="B39" s="5"/>
      <c r="C39" s="31"/>
      <c r="D39" s="31"/>
      <c r="E39" s="31"/>
      <c r="F39" s="26"/>
      <c r="G39" s="31"/>
      <c r="H39" s="31"/>
      <c r="I39" s="37"/>
      <c r="J39" s="31"/>
      <c r="K39" s="31"/>
    </row>
    <row r="40" spans="1:11" ht="15" customHeight="1">
      <c r="A40" s="12" t="s">
        <v>31</v>
      </c>
      <c r="C40" s="40" t="s">
        <v>107</v>
      </c>
      <c r="D40" s="40" t="s">
        <v>105</v>
      </c>
      <c r="E40" s="40" t="s">
        <v>108</v>
      </c>
      <c r="F40" s="31"/>
      <c r="G40" s="31"/>
      <c r="H40" s="31"/>
      <c r="I40" s="37"/>
      <c r="J40" s="31"/>
      <c r="K40" s="31"/>
    </row>
    <row r="41" spans="1:11" ht="15" customHeight="1">
      <c r="A41" s="2" t="s">
        <v>30</v>
      </c>
      <c r="B41" s="2"/>
      <c r="C41" s="18">
        <v>0.0498</v>
      </c>
      <c r="D41" s="18">
        <f>0.049</f>
        <v>0.049</v>
      </c>
      <c r="E41" s="18">
        <f>0.04435</f>
        <v>0.04435</v>
      </c>
      <c r="F41" s="32"/>
      <c r="G41" s="32"/>
      <c r="H41" s="32"/>
      <c r="I41" s="38"/>
      <c r="J41" s="32"/>
      <c r="K41" s="32"/>
    </row>
    <row r="42" spans="6:11" ht="15" customHeight="1">
      <c r="F42" s="32"/>
      <c r="G42" s="32"/>
      <c r="H42" s="32"/>
      <c r="I42" s="38"/>
      <c r="J42" s="32"/>
      <c r="K42" s="38"/>
    </row>
    <row r="43" spans="1:11" ht="12.75">
      <c r="A43" s="2" t="s">
        <v>27</v>
      </c>
      <c r="K43" s="39"/>
    </row>
    <row r="44" ht="12.75">
      <c r="K44" s="39"/>
    </row>
    <row r="45" spans="1:11" ht="12.75">
      <c r="A45" s="1" t="s">
        <v>26</v>
      </c>
      <c r="K45" s="39"/>
    </row>
    <row r="46" ht="12.75">
      <c r="K46" s="39"/>
    </row>
    <row r="47" spans="1:11" ht="12.75">
      <c r="A47" s="11"/>
      <c r="K47" s="39"/>
    </row>
    <row r="48" spans="1:11" ht="12.75">
      <c r="A48" s="1" t="s">
        <v>28</v>
      </c>
      <c r="K48" s="39"/>
    </row>
    <row r="50" ht="12.75">
      <c r="A50" s="11"/>
    </row>
    <row r="51" ht="12.75">
      <c r="A51" s="1" t="s">
        <v>29</v>
      </c>
    </row>
    <row r="53" ht="9.75" customHeight="1"/>
    <row r="54" spans="1:2" ht="9.75" customHeight="1">
      <c r="A54" s="6" t="s">
        <v>1</v>
      </c>
      <c r="B54" s="6"/>
    </row>
    <row r="55" ht="9.75" customHeight="1"/>
  </sheetData>
  <printOptions/>
  <pageMargins left="0.5" right="0.25" top="0.66" bottom="0.5" header="0.17" footer="0.5"/>
  <pageSetup fitToHeight="1" fitToWidth="1" horizontalDpi="600" verticalDpi="600" orientation="landscape" scale="73" r:id="rId3"/>
  <headerFooter alignWithMargins="0">
    <oddHeader>&amp;C&amp;"Arial,Bold"BLINN COLLEGE
INVESTMENT REPORT BY FUND
JANUARY 31, 2007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39">
    <pageSetUpPr fitToPage="1"/>
  </sheetPr>
  <dimension ref="A1:O51"/>
  <sheetViews>
    <sheetView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" sqref="F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0039062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59</v>
      </c>
      <c r="D3" s="29" t="s">
        <v>10</v>
      </c>
      <c r="E3" s="29" t="s">
        <v>54</v>
      </c>
      <c r="F3" s="29" t="s">
        <v>11</v>
      </c>
      <c r="G3" s="41" t="s">
        <v>58</v>
      </c>
      <c r="H3" s="41" t="s">
        <v>58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0.0353</f>
        <v>0.0353</v>
      </c>
      <c r="C5" s="50">
        <f>3444604.98</f>
        <v>3444604.98</v>
      </c>
      <c r="D5" s="50">
        <f>10828814.55</f>
        <v>10828814.55</v>
      </c>
      <c r="E5" s="50">
        <f>13694.6</f>
        <v>13694.6</v>
      </c>
      <c r="F5" s="57">
        <f>-10324996.65</f>
        <v>-10324996.65</v>
      </c>
      <c r="G5" s="43">
        <f aca="true" t="shared" si="0" ref="G5:G15">SUM(C5:F5)</f>
        <v>3962117.4800000004</v>
      </c>
      <c r="H5" s="43">
        <f aca="true" t="shared" si="1" ref="H5:H14">G5</f>
        <v>3962117.4800000004</v>
      </c>
      <c r="I5" s="36"/>
      <c r="J5" s="43">
        <f>H5-K5</f>
        <v>3962117.4800000004</v>
      </c>
      <c r="K5" s="43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0.0353</f>
        <v>0.0353</v>
      </c>
      <c r="C6" s="50">
        <f>442876.93</f>
        <v>442876.93</v>
      </c>
      <c r="D6" s="50">
        <f>32606.29</f>
        <v>32606.29</v>
      </c>
      <c r="E6" s="50">
        <f>1365.75</f>
        <v>1365.75</v>
      </c>
      <c r="F6" s="57">
        <f>-4960.93</f>
        <v>-4960.93</v>
      </c>
      <c r="G6" s="43">
        <f t="shared" si="0"/>
        <v>471888.04</v>
      </c>
      <c r="H6" s="43">
        <f t="shared" si="1"/>
        <v>471888.04</v>
      </c>
      <c r="I6" s="36"/>
      <c r="J6" s="43">
        <f>H6</f>
        <v>471888.04</v>
      </c>
      <c r="K6" s="43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0.0353</f>
        <v>0.0353</v>
      </c>
      <c r="C7" s="50">
        <f>750181.37</f>
        <v>750181.37</v>
      </c>
      <c r="D7" s="50">
        <f>1711436.38</f>
        <v>1711436.38</v>
      </c>
      <c r="E7" s="50">
        <f>1721.75</f>
        <v>1721.75</v>
      </c>
      <c r="F7" s="57">
        <f>-1816412.01</f>
        <v>-1816412.01</v>
      </c>
      <c r="G7" s="43">
        <f t="shared" si="0"/>
        <v>646927.49</v>
      </c>
      <c r="H7" s="43">
        <f t="shared" si="1"/>
        <v>646927.49</v>
      </c>
      <c r="I7" s="36"/>
      <c r="J7" s="43">
        <f>H7</f>
        <v>646927.49</v>
      </c>
      <c r="K7" s="43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0.0353</f>
        <v>0.0353</v>
      </c>
      <c r="C8" s="50">
        <f>28282.95</f>
        <v>28282.95</v>
      </c>
      <c r="D8" s="50">
        <f>2593646.99</f>
        <v>2593646.99</v>
      </c>
      <c r="E8" s="50">
        <f>553.44</f>
        <v>553.44</v>
      </c>
      <c r="F8" s="57">
        <f>-2591929.94</f>
        <v>-2591929.94</v>
      </c>
      <c r="G8" s="43">
        <f t="shared" si="0"/>
        <v>30553.44000000041</v>
      </c>
      <c r="H8" s="43">
        <f t="shared" si="1"/>
        <v>30553.44000000041</v>
      </c>
      <c r="I8" s="36"/>
      <c r="J8" s="43">
        <f>H8</f>
        <v>30553.44000000041</v>
      </c>
      <c r="K8" s="43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0.0353</f>
        <v>0.0353</v>
      </c>
      <c r="C9" s="50">
        <f>1583822.75</f>
        <v>1583822.75</v>
      </c>
      <c r="D9" s="50">
        <v>0</v>
      </c>
      <c r="E9" s="50">
        <f>4667.73</f>
        <v>4667.73</v>
      </c>
      <c r="F9" s="57">
        <v>0</v>
      </c>
      <c r="G9" s="43">
        <f t="shared" si="0"/>
        <v>1588490.48</v>
      </c>
      <c r="H9" s="43">
        <f t="shared" si="1"/>
        <v>1588490.48</v>
      </c>
      <c r="I9" s="36"/>
      <c r="J9" s="43">
        <v>0</v>
      </c>
      <c r="K9" s="43">
        <f>+H9</f>
        <v>1588490.48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50">
        <f>1866.24</f>
        <v>1866.24</v>
      </c>
      <c r="D10" s="50">
        <f>5500</f>
        <v>5500</v>
      </c>
      <c r="E10" s="50">
        <v>0</v>
      </c>
      <c r="F10" s="57">
        <f>-3963.12</f>
        <v>-3963.12</v>
      </c>
      <c r="G10" s="43">
        <f t="shared" si="0"/>
        <v>3403.12</v>
      </c>
      <c r="H10" s="43">
        <f t="shared" si="1"/>
        <v>3403.12</v>
      </c>
      <c r="I10" s="36"/>
      <c r="J10" s="43">
        <f aca="true" t="shared" si="3" ref="J10:J15">H10</f>
        <v>3403.12</v>
      </c>
      <c r="K10" s="43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50">
        <f>25000</f>
        <v>25000</v>
      </c>
      <c r="D11" s="50">
        <f>4214359.99</f>
        <v>4214359.99</v>
      </c>
      <c r="E11" s="50">
        <v>0</v>
      </c>
      <c r="F11" s="57">
        <f>-4214359.99</f>
        <v>-4214359.99</v>
      </c>
      <c r="G11" s="43">
        <f t="shared" si="0"/>
        <v>25000</v>
      </c>
      <c r="H11" s="43">
        <f t="shared" si="1"/>
        <v>25000</v>
      </c>
      <c r="I11" s="36"/>
      <c r="J11" s="43">
        <f t="shared" si="3"/>
        <v>25000</v>
      </c>
      <c r="K11" s="43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50">
        <f>111208.74</f>
        <v>111208.74</v>
      </c>
      <c r="D12" s="50">
        <f>2429660.08</f>
        <v>2429660.08</v>
      </c>
      <c r="E12" s="50">
        <v>0</v>
      </c>
      <c r="F12" s="57">
        <f>-2420960.79</f>
        <v>-2420960.79</v>
      </c>
      <c r="G12" s="43">
        <f t="shared" si="0"/>
        <v>119908.03000000026</v>
      </c>
      <c r="H12" s="43">
        <f t="shared" si="1"/>
        <v>119908.03000000026</v>
      </c>
      <c r="I12" s="36"/>
      <c r="J12" s="43">
        <f t="shared" si="3"/>
        <v>119908.03000000026</v>
      </c>
      <c r="K12" s="43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50">
        <f>5405.37</f>
        <v>5405.37</v>
      </c>
      <c r="D13" s="50">
        <v>0</v>
      </c>
      <c r="E13" s="50">
        <v>0</v>
      </c>
      <c r="F13" s="57">
        <f>-630.49</f>
        <v>-630.49</v>
      </c>
      <c r="G13" s="43">
        <f t="shared" si="0"/>
        <v>4774.88</v>
      </c>
      <c r="H13" s="43">
        <f t="shared" si="1"/>
        <v>4774.88</v>
      </c>
      <c r="I13" s="36"/>
      <c r="J13" s="43">
        <f t="shared" si="3"/>
        <v>4774.88</v>
      </c>
      <c r="K13" s="43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51">
        <f>46606.58</f>
        <v>46606.58</v>
      </c>
      <c r="D14" s="51">
        <f>168959.77</f>
        <v>168959.77</v>
      </c>
      <c r="E14" s="51">
        <v>0</v>
      </c>
      <c r="F14" s="58">
        <f>-177712.35</f>
        <v>-177712.35</v>
      </c>
      <c r="G14" s="44">
        <f t="shared" si="0"/>
        <v>37853.99999999997</v>
      </c>
      <c r="H14" s="44">
        <f t="shared" si="1"/>
        <v>37853.99999999997</v>
      </c>
      <c r="I14" s="36"/>
      <c r="J14" s="44">
        <f t="shared" si="3"/>
        <v>37853.99999999997</v>
      </c>
      <c r="K14" s="44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51">
        <f>19071</f>
        <v>19071</v>
      </c>
      <c r="D15" s="51">
        <f>5459+320+9660.5+3856+5934+3762+1660+280+2158</f>
        <v>33089.5</v>
      </c>
      <c r="E15" s="51">
        <v>0</v>
      </c>
      <c r="F15" s="58">
        <f>-0.4-25000-15</f>
        <v>-25015.4</v>
      </c>
      <c r="G15" s="44">
        <f t="shared" si="0"/>
        <v>27145.1</v>
      </c>
      <c r="H15" s="45">
        <f>+G15</f>
        <v>27145.1</v>
      </c>
      <c r="I15" s="36"/>
      <c r="J15" s="45">
        <f t="shared" si="3"/>
        <v>27145.1</v>
      </c>
      <c r="K15" s="45">
        <v>0</v>
      </c>
      <c r="L15" s="25">
        <f t="shared" si="2"/>
        <v>0</v>
      </c>
      <c r="N15" s="13" t="s">
        <v>61</v>
      </c>
      <c r="O15" s="42">
        <f>+G15-27145.1</f>
        <v>0</v>
      </c>
    </row>
    <row r="16" spans="1:11" s="2" customFormat="1" ht="15" customHeight="1">
      <c r="A16" s="2" t="s">
        <v>12</v>
      </c>
      <c r="B16" s="14"/>
      <c r="C16" s="52">
        <f aca="true" t="shared" si="4" ref="C16:H16">SUM(C5:C15)</f>
        <v>6458926.910000001</v>
      </c>
      <c r="D16" s="52">
        <f t="shared" si="4"/>
        <v>22018073.55</v>
      </c>
      <c r="E16" s="52">
        <f t="shared" si="4"/>
        <v>22003.269999999997</v>
      </c>
      <c r="F16" s="59">
        <f t="shared" si="4"/>
        <v>-21580941.669999998</v>
      </c>
      <c r="G16" s="52">
        <f t="shared" si="4"/>
        <v>6918062.060000001</v>
      </c>
      <c r="H16" s="52">
        <f t="shared" si="4"/>
        <v>6918062.060000001</v>
      </c>
      <c r="I16" s="36"/>
      <c r="J16" s="45">
        <f>SUM(J5:J15)</f>
        <v>5329571.580000001</v>
      </c>
      <c r="K16" s="45">
        <f>SUM(K5:K15)</f>
        <v>1588490.48</v>
      </c>
    </row>
    <row r="17" spans="2:11" s="2" customFormat="1" ht="15" customHeight="1">
      <c r="B17" s="14"/>
      <c r="C17" s="51"/>
      <c r="D17" s="51"/>
      <c r="E17" s="51"/>
      <c r="F17" s="58"/>
      <c r="G17" s="44"/>
      <c r="H17" s="44"/>
      <c r="I17" s="36"/>
      <c r="J17" s="44"/>
      <c r="K17" s="44"/>
    </row>
    <row r="18" spans="1:14" ht="15" customHeight="1">
      <c r="A18" s="13" t="s">
        <v>32</v>
      </c>
      <c r="B18" s="22">
        <f>0.034815</f>
        <v>0.034815</v>
      </c>
      <c r="C18" s="50">
        <f>16741</f>
        <v>16741</v>
      </c>
      <c r="D18" s="50">
        <f>300000</f>
        <v>300000</v>
      </c>
      <c r="E18" s="50">
        <f>737.17</f>
        <v>737.17</v>
      </c>
      <c r="F18" s="57">
        <v>0</v>
      </c>
      <c r="G18" s="43">
        <f aca="true" t="shared" si="5" ref="G18:G23">SUM(C18:F18)</f>
        <v>317478.17</v>
      </c>
      <c r="H18" s="43">
        <f aca="true" t="shared" si="6" ref="H18:H23">G18</f>
        <v>317478.17</v>
      </c>
      <c r="I18" s="36"/>
      <c r="J18" s="43">
        <v>0</v>
      </c>
      <c r="K18" s="43">
        <f>H18</f>
        <v>317478.17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0.034815</f>
        <v>0.034815</v>
      </c>
      <c r="C19" s="50">
        <f>3016596</f>
        <v>3016596</v>
      </c>
      <c r="D19" s="50">
        <f>1700000</f>
        <v>1700000</v>
      </c>
      <c r="E19" s="50">
        <f>12741.25</f>
        <v>12741.25</v>
      </c>
      <c r="F19" s="57">
        <v>0</v>
      </c>
      <c r="G19" s="43">
        <f t="shared" si="5"/>
        <v>4729337.25</v>
      </c>
      <c r="H19" s="43">
        <f t="shared" si="6"/>
        <v>4729337.25</v>
      </c>
      <c r="I19" s="36"/>
      <c r="J19" s="43">
        <f>H19-K19</f>
        <v>4697273.25</v>
      </c>
      <c r="K19" s="43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50">
        <v>0</v>
      </c>
      <c r="D20" s="50">
        <v>0</v>
      </c>
      <c r="E20" s="50"/>
      <c r="F20" s="57">
        <v>0</v>
      </c>
      <c r="G20" s="43">
        <f t="shared" si="5"/>
        <v>0</v>
      </c>
      <c r="H20" s="43">
        <f t="shared" si="6"/>
        <v>0</v>
      </c>
      <c r="I20" s="36"/>
      <c r="J20" s="43">
        <v>0</v>
      </c>
      <c r="K20" s="43">
        <f>H20</f>
        <v>0</v>
      </c>
    </row>
    <row r="21" spans="1:14" s="2" customFormat="1" ht="15" customHeight="1">
      <c r="A21" s="13" t="s">
        <v>20</v>
      </c>
      <c r="B21" s="22">
        <f>0.0335</f>
        <v>0.0335</v>
      </c>
      <c r="C21" s="50">
        <f>863045.46</f>
        <v>863045.46</v>
      </c>
      <c r="D21" s="50">
        <v>0</v>
      </c>
      <c r="E21" s="50">
        <f>2455</f>
        <v>2455</v>
      </c>
      <c r="F21" s="57">
        <v>0</v>
      </c>
      <c r="G21" s="43">
        <f t="shared" si="5"/>
        <v>865500.46</v>
      </c>
      <c r="H21" s="43">
        <f t="shared" si="6"/>
        <v>865500.46</v>
      </c>
      <c r="I21" s="36"/>
      <c r="J21" s="43">
        <f>H21-K21</f>
        <v>865500.46</v>
      </c>
      <c r="K21" s="43">
        <v>0</v>
      </c>
      <c r="N21" s="2" t="s">
        <v>61</v>
      </c>
    </row>
    <row r="22" spans="1:14" s="2" customFormat="1" ht="15" customHeight="1">
      <c r="A22" s="13" t="s">
        <v>21</v>
      </c>
      <c r="B22" s="22">
        <f>0.0335</f>
        <v>0.0335</v>
      </c>
      <c r="C22" s="50">
        <f>2541419.37</f>
        <v>2541419.37</v>
      </c>
      <c r="D22" s="50">
        <v>0</v>
      </c>
      <c r="E22" s="50">
        <f>7229.28</f>
        <v>7229.28</v>
      </c>
      <c r="F22" s="57">
        <v>0</v>
      </c>
      <c r="G22" s="43">
        <f t="shared" si="5"/>
        <v>2548648.65</v>
      </c>
      <c r="H22" s="43">
        <f t="shared" si="6"/>
        <v>2548648.65</v>
      </c>
      <c r="I22" s="36"/>
      <c r="J22" s="43">
        <f>H22-K22</f>
        <v>0</v>
      </c>
      <c r="K22" s="43">
        <f>2548648.65</f>
        <v>2548648.65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0.034264</f>
        <v>0.034264</v>
      </c>
      <c r="C23" s="53">
        <f>1280463</f>
        <v>1280463</v>
      </c>
      <c r="D23" s="53">
        <v>4000000</v>
      </c>
      <c r="E23" s="53">
        <v>7057.84</v>
      </c>
      <c r="F23" s="60">
        <v>0</v>
      </c>
      <c r="G23" s="45">
        <f t="shared" si="5"/>
        <v>5287520.84</v>
      </c>
      <c r="H23" s="45">
        <f t="shared" si="6"/>
        <v>5287520.84</v>
      </c>
      <c r="I23" s="36"/>
      <c r="J23" s="45">
        <f>H23-K23</f>
        <v>5230914.45</v>
      </c>
      <c r="K23" s="45">
        <f>56375.6+155.23+75.56</f>
        <v>56606.39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53">
        <f aca="true" t="shared" si="7" ref="C24:H24">SUM(C18:C23)</f>
        <v>7718264.83</v>
      </c>
      <c r="D24" s="53">
        <f t="shared" si="7"/>
        <v>6000000</v>
      </c>
      <c r="E24" s="53">
        <f t="shared" si="7"/>
        <v>30220.54</v>
      </c>
      <c r="F24" s="60">
        <f t="shared" si="7"/>
        <v>0</v>
      </c>
      <c r="G24" s="45">
        <f t="shared" si="7"/>
        <v>13748485.37</v>
      </c>
      <c r="H24" s="45">
        <f t="shared" si="7"/>
        <v>13748485.37</v>
      </c>
      <c r="I24" s="36"/>
      <c r="J24" s="45">
        <f>SUM(J18:J23)</f>
        <v>10793688.16</v>
      </c>
      <c r="K24" s="45">
        <f>SUM(K18:K23)</f>
        <v>2954797.21</v>
      </c>
    </row>
    <row r="25" spans="1:11" s="2" customFormat="1" ht="15" customHeight="1">
      <c r="A25" s="5" t="s">
        <v>15</v>
      </c>
      <c r="B25" s="23"/>
      <c r="C25" s="51"/>
      <c r="D25" s="51"/>
      <c r="E25" s="51"/>
      <c r="F25" s="58"/>
      <c r="G25" s="44"/>
      <c r="H25" s="44"/>
      <c r="I25" s="36"/>
      <c r="J25" s="44"/>
      <c r="K25" s="44"/>
    </row>
    <row r="26" spans="1:14" s="2" customFormat="1" ht="15" customHeight="1">
      <c r="A26" s="13" t="s">
        <v>43</v>
      </c>
      <c r="B26" s="14">
        <v>0.0416</v>
      </c>
      <c r="C26" s="51">
        <f>2029582.22</f>
        <v>2029582.22</v>
      </c>
      <c r="D26" s="51">
        <v>0</v>
      </c>
      <c r="E26" s="51">
        <f>6933.33</f>
        <v>6933.33</v>
      </c>
      <c r="F26" s="58">
        <v>0</v>
      </c>
      <c r="G26" s="44">
        <f aca="true" t="shared" si="8" ref="G26:G32">SUM(C26:F26)</f>
        <v>2036515.55</v>
      </c>
      <c r="H26" s="44">
        <f>2002082.22</f>
        <v>2002082.22</v>
      </c>
      <c r="I26" s="36"/>
      <c r="J26" s="44">
        <v>0</v>
      </c>
      <c r="K26" s="44">
        <f aca="true" t="shared" si="9" ref="K26:K32">G26</f>
        <v>2036515.55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51">
        <f>484092</f>
        <v>484092</v>
      </c>
      <c r="D27" s="51">
        <v>0</v>
      </c>
      <c r="E27" s="51">
        <f>1364</f>
        <v>1364</v>
      </c>
      <c r="F27" s="58">
        <v>0</v>
      </c>
      <c r="G27" s="44">
        <f t="shared" si="8"/>
        <v>485456</v>
      </c>
      <c r="H27" s="44">
        <f>475394.4</f>
        <v>475394.4</v>
      </c>
      <c r="I27" s="36"/>
      <c r="J27" s="44">
        <v>0</v>
      </c>
      <c r="K27" s="44">
        <f t="shared" si="9"/>
        <v>485456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51">
        <f>1008500</f>
        <v>1008500</v>
      </c>
      <c r="D28" s="51">
        <v>0</v>
      </c>
      <c r="E28" s="51">
        <f>2500</f>
        <v>2500</v>
      </c>
      <c r="F28" s="58">
        <v>0</v>
      </c>
      <c r="G28" s="44">
        <f t="shared" si="8"/>
        <v>1011000</v>
      </c>
      <c r="H28" s="44">
        <f>994130</f>
        <v>994130</v>
      </c>
      <c r="I28" s="36"/>
      <c r="J28" s="44">
        <v>0</v>
      </c>
      <c r="K28" s="44">
        <f t="shared" si="9"/>
        <v>1011000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51">
        <f>524307.33</f>
        <v>524307.33</v>
      </c>
      <c r="D29" s="51">
        <v>0</v>
      </c>
      <c r="E29" s="51">
        <f>1538.33</f>
        <v>1538.33</v>
      </c>
      <c r="F29" s="58">
        <v>0</v>
      </c>
      <c r="G29" s="44">
        <f t="shared" si="8"/>
        <v>525845.6599999999</v>
      </c>
      <c r="H29" s="44">
        <f>516184.93</f>
        <v>516184.93</v>
      </c>
      <c r="I29" s="36"/>
      <c r="J29" s="44">
        <v>0</v>
      </c>
      <c r="K29" s="44">
        <f t="shared" si="9"/>
        <v>525845.6599999999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51">
        <f>1007635.83</f>
        <v>1007635.83</v>
      </c>
      <c r="D30" s="51">
        <v>0</v>
      </c>
      <c r="E30" s="51">
        <f>2975</f>
        <v>2975</v>
      </c>
      <c r="F30" s="58">
        <v>0</v>
      </c>
      <c r="G30" s="44">
        <f t="shared" si="8"/>
        <v>1010610.83</v>
      </c>
      <c r="H30" s="44">
        <f>990445.83</f>
        <v>990445.83</v>
      </c>
      <c r="I30" s="36"/>
      <c r="J30" s="44">
        <v>0</v>
      </c>
      <c r="K30" s="44">
        <f t="shared" si="9"/>
        <v>1010610.83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0.03</v>
      </c>
      <c r="C31" s="51">
        <f>1010250</f>
        <v>1010250</v>
      </c>
      <c r="D31" s="51">
        <v>0</v>
      </c>
      <c r="E31" s="51">
        <v>2500</v>
      </c>
      <c r="F31" s="58">
        <v>0</v>
      </c>
      <c r="G31" s="44">
        <f t="shared" si="8"/>
        <v>1012750</v>
      </c>
      <c r="H31" s="44">
        <f>1009000</f>
        <v>1009000</v>
      </c>
      <c r="I31" s="36"/>
      <c r="J31" s="44">
        <v>0</v>
      </c>
      <c r="K31" s="44">
        <f t="shared" si="9"/>
        <v>1012750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53">
        <f>2892.78</f>
        <v>2892.78</v>
      </c>
      <c r="D32" s="53">
        <v>0</v>
      </c>
      <c r="E32" s="53">
        <f>4.81</f>
        <v>4.81</v>
      </c>
      <c r="F32" s="60">
        <v>0</v>
      </c>
      <c r="G32" s="45">
        <f t="shared" si="8"/>
        <v>2897.59</v>
      </c>
      <c r="H32" s="45">
        <f>2892.78</f>
        <v>2892.78</v>
      </c>
      <c r="I32" s="36"/>
      <c r="J32" s="45">
        <v>0</v>
      </c>
      <c r="K32" s="45">
        <f t="shared" si="9"/>
        <v>2897.59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54">
        <f aca="true" t="shared" si="10" ref="C33:H33">SUM(C26:C32)</f>
        <v>6067260.16</v>
      </c>
      <c r="D33" s="54">
        <f t="shared" si="10"/>
        <v>0</v>
      </c>
      <c r="E33" s="54">
        <f t="shared" si="10"/>
        <v>17815.47</v>
      </c>
      <c r="F33" s="61">
        <f t="shared" si="10"/>
        <v>0</v>
      </c>
      <c r="G33" s="46">
        <f t="shared" si="10"/>
        <v>6085075.63</v>
      </c>
      <c r="H33" s="46">
        <f t="shared" si="10"/>
        <v>5990130.16</v>
      </c>
      <c r="I33" s="37"/>
      <c r="J33" s="46">
        <f>SUM(J26:J26)</f>
        <v>0</v>
      </c>
      <c r="K33" s="46">
        <f>SUM(K26:K32)</f>
        <v>6085075.63</v>
      </c>
      <c r="L33" s="2"/>
      <c r="M33" s="2"/>
      <c r="N33" s="15"/>
      <c r="O33" s="2"/>
    </row>
    <row r="34" spans="1:12" ht="15" customHeight="1">
      <c r="A34" s="2"/>
      <c r="B34" s="2"/>
      <c r="C34" s="55"/>
      <c r="D34" s="55"/>
      <c r="E34" s="55"/>
      <c r="F34" s="62"/>
      <c r="G34" s="47"/>
      <c r="H34" s="47"/>
      <c r="I34" s="37"/>
      <c r="J34" s="47"/>
      <c r="K34" s="48"/>
      <c r="L34" s="17"/>
    </row>
    <row r="35" spans="1:13" ht="15" customHeight="1" thickBot="1">
      <c r="A35" s="8" t="s">
        <v>16</v>
      </c>
      <c r="B35" s="8"/>
      <c r="C35" s="56">
        <f aca="true" t="shared" si="11" ref="C35:H35">SUM(C33,C24,C16)</f>
        <v>20244451.900000002</v>
      </c>
      <c r="D35" s="56">
        <f t="shared" si="11"/>
        <v>28018073.55</v>
      </c>
      <c r="E35" s="56">
        <f t="shared" si="11"/>
        <v>70039.28</v>
      </c>
      <c r="F35" s="63">
        <f t="shared" si="11"/>
        <v>-21580941.669999998</v>
      </c>
      <c r="G35" s="49">
        <f t="shared" si="11"/>
        <v>26751623.060000002</v>
      </c>
      <c r="H35" s="49">
        <f t="shared" si="11"/>
        <v>26656677.590000004</v>
      </c>
      <c r="I35" s="37"/>
      <c r="J35" s="49">
        <f>SUM(J33,J24,J16)</f>
        <v>16123259.740000002</v>
      </c>
      <c r="K35" s="49">
        <f>SUM(K33,K24,K16)</f>
        <v>10628363.32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58</v>
      </c>
      <c r="D37" s="40" t="s">
        <v>59</v>
      </c>
      <c r="E37" s="40" t="s">
        <v>60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0.03705</f>
        <v>0.03705</v>
      </c>
      <c r="D38" s="18">
        <f>3.54%</f>
        <v>0.0354</v>
      </c>
      <c r="E38" s="18">
        <f>0.01775</f>
        <v>0.01775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AUGUST 31,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140">
    <pageSetUpPr fitToPage="1"/>
  </sheetPr>
  <dimension ref="A1:O51"/>
  <sheetViews>
    <sheetView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58</v>
      </c>
      <c r="D3" s="29" t="s">
        <v>10</v>
      </c>
      <c r="E3" s="29" t="s">
        <v>54</v>
      </c>
      <c r="F3" s="29" t="s">
        <v>11</v>
      </c>
      <c r="G3" s="41" t="s">
        <v>62</v>
      </c>
      <c r="H3" s="41" t="s">
        <v>62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0.0377</f>
        <v>0.0377</v>
      </c>
      <c r="C5" s="64">
        <v>3962117.48</v>
      </c>
      <c r="D5" s="64">
        <f>18513712.89</f>
        <v>18513712.89</v>
      </c>
      <c r="E5" s="64">
        <f>13733.64</f>
        <v>13733.64</v>
      </c>
      <c r="F5" s="64">
        <f>-20873180.79</f>
        <v>-20873180.79</v>
      </c>
      <c r="G5" s="65">
        <f aca="true" t="shared" si="0" ref="G5:G15">SUM(C5:F5)</f>
        <v>1616383.2200000025</v>
      </c>
      <c r="H5" s="65">
        <f aca="true" t="shared" si="1" ref="H5:H14">G5</f>
        <v>1616383.2200000025</v>
      </c>
      <c r="I5" s="66"/>
      <c r="J5" s="65">
        <f>H5-K5</f>
        <v>1616383.2200000025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0.0377</f>
        <v>0.0377</v>
      </c>
      <c r="C6" s="64">
        <v>471888.04</v>
      </c>
      <c r="D6" s="64">
        <f>5098694.58</f>
        <v>5098694.58</v>
      </c>
      <c r="E6" s="64">
        <f>2794.58</f>
        <v>2794.58</v>
      </c>
      <c r="F6" s="64">
        <f>-3916751.97</f>
        <v>-3916751.97</v>
      </c>
      <c r="G6" s="65">
        <f t="shared" si="0"/>
        <v>1656625.23</v>
      </c>
      <c r="H6" s="65">
        <f t="shared" si="1"/>
        <v>1656625.23</v>
      </c>
      <c r="I6" s="66"/>
      <c r="J6" s="65">
        <f>H6</f>
        <v>1656625.23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0.0377</f>
        <v>0.0377</v>
      </c>
      <c r="C7" s="64">
        <v>646927.49</v>
      </c>
      <c r="D7" s="64">
        <f>10752892.79</f>
        <v>10752892.79</v>
      </c>
      <c r="E7" s="64">
        <f>3462.43</f>
        <v>3462.43</v>
      </c>
      <c r="F7" s="64">
        <f>-8957394.39</f>
        <v>-8957394.39</v>
      </c>
      <c r="G7" s="65">
        <f t="shared" si="0"/>
        <v>2445888.3199999984</v>
      </c>
      <c r="H7" s="65">
        <f t="shared" si="1"/>
        <v>2445888.3199999984</v>
      </c>
      <c r="I7" s="66"/>
      <c r="J7" s="65">
        <f>H7</f>
        <v>2445888.3199999984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0.0377</f>
        <v>0.0377</v>
      </c>
      <c r="C8" s="64">
        <v>30553.44</v>
      </c>
      <c r="D8" s="64">
        <f>2526306.97</f>
        <v>2526306.97</v>
      </c>
      <c r="E8" s="64">
        <f>355.76</f>
        <v>355.76</v>
      </c>
      <c r="F8" s="64">
        <f>-2526364.81</f>
        <v>-2526364.81</v>
      </c>
      <c r="G8" s="65">
        <f t="shared" si="0"/>
        <v>30851.35999999987</v>
      </c>
      <c r="H8" s="65">
        <f t="shared" si="1"/>
        <v>30851.35999999987</v>
      </c>
      <c r="I8" s="66"/>
      <c r="J8" s="65">
        <f>H8</f>
        <v>30851.35999999987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0.0377</f>
        <v>0.0377</v>
      </c>
      <c r="C9" s="64">
        <v>1588490.48</v>
      </c>
      <c r="D9" s="64">
        <v>0</v>
      </c>
      <c r="E9" s="64">
        <f>5166.72</f>
        <v>5166.72</v>
      </c>
      <c r="F9" s="64">
        <v>0</v>
      </c>
      <c r="G9" s="65">
        <f t="shared" si="0"/>
        <v>1593657.2</v>
      </c>
      <c r="H9" s="65">
        <f t="shared" si="1"/>
        <v>1593657.2</v>
      </c>
      <c r="I9" s="66"/>
      <c r="J9" s="65">
        <v>0</v>
      </c>
      <c r="K9" s="65">
        <f>+H9</f>
        <v>1593657.2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v>3403.12</v>
      </c>
      <c r="D10" s="64">
        <f>2000</f>
        <v>2000</v>
      </c>
      <c r="E10" s="64">
        <v>0</v>
      </c>
      <c r="F10" s="64">
        <f>-3846.66</f>
        <v>-3846.66</v>
      </c>
      <c r="G10" s="65">
        <f t="shared" si="0"/>
        <v>1556.46</v>
      </c>
      <c r="H10" s="65">
        <f t="shared" si="1"/>
        <v>1556.46</v>
      </c>
      <c r="I10" s="66"/>
      <c r="J10" s="65">
        <f aca="true" t="shared" si="3" ref="J10:J15">H10</f>
        <v>1556.46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v>25000</v>
      </c>
      <c r="D11" s="64">
        <f>260109.2</f>
        <v>260109.2</v>
      </c>
      <c r="E11" s="64">
        <v>0</v>
      </c>
      <c r="F11" s="64">
        <f>-260109.2</f>
        <v>-260109.2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v>119908.03</v>
      </c>
      <c r="D12" s="64">
        <f>787498.89</f>
        <v>787498.89</v>
      </c>
      <c r="E12" s="64">
        <v>0</v>
      </c>
      <c r="F12" s="64">
        <f>-846661.37</f>
        <v>-846661.37</v>
      </c>
      <c r="G12" s="65">
        <f t="shared" si="0"/>
        <v>60745.55000000005</v>
      </c>
      <c r="H12" s="65">
        <f t="shared" si="1"/>
        <v>60745.55000000005</v>
      </c>
      <c r="I12" s="66"/>
      <c r="J12" s="65">
        <f t="shared" si="3"/>
        <v>60745.55000000005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v>4774.88</v>
      </c>
      <c r="D13" s="64">
        <v>0</v>
      </c>
      <c r="E13" s="64">
        <v>0</v>
      </c>
      <c r="F13" s="64">
        <v>0</v>
      </c>
      <c r="G13" s="65">
        <f t="shared" si="0"/>
        <v>4774.88</v>
      </c>
      <c r="H13" s="65">
        <f t="shared" si="1"/>
        <v>4774.88</v>
      </c>
      <c r="I13" s="66"/>
      <c r="J13" s="65">
        <f t="shared" si="3"/>
        <v>4774.88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v>37854</v>
      </c>
      <c r="D14" s="67">
        <f>47561.7</f>
        <v>47561.7</v>
      </c>
      <c r="E14" s="67">
        <v>0</v>
      </c>
      <c r="F14" s="67">
        <f>-970.38</f>
        <v>-970.38</v>
      </c>
      <c r="G14" s="66">
        <f t="shared" si="0"/>
        <v>84445.31999999999</v>
      </c>
      <c r="H14" s="66">
        <f t="shared" si="1"/>
        <v>84445.31999999999</v>
      </c>
      <c r="I14" s="66"/>
      <c r="J14" s="66">
        <f t="shared" si="3"/>
        <v>84445.31999999999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v>27145.1</v>
      </c>
      <c r="D15" s="67">
        <f>1187.25+56+835+1422.5</f>
        <v>3500.75</v>
      </c>
      <c r="E15" s="67">
        <v>0</v>
      </c>
      <c r="F15" s="67">
        <v>0</v>
      </c>
      <c r="G15" s="66">
        <f t="shared" si="0"/>
        <v>30645.85</v>
      </c>
      <c r="H15" s="68">
        <f>+G15</f>
        <v>30645.85</v>
      </c>
      <c r="I15" s="66"/>
      <c r="J15" s="68">
        <f t="shared" si="3"/>
        <v>30645.85</v>
      </c>
      <c r="K15" s="68">
        <v>0</v>
      </c>
      <c r="L15" s="25">
        <f t="shared" si="2"/>
        <v>0</v>
      </c>
      <c r="N15" s="13" t="s">
        <v>61</v>
      </c>
      <c r="O15" s="42">
        <f>+G15-27145.1</f>
        <v>3500.75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6918062.06</v>
      </c>
      <c r="D16" s="69">
        <f t="shared" si="4"/>
        <v>37992277.77</v>
      </c>
      <c r="E16" s="69">
        <f t="shared" si="4"/>
        <v>25513.13</v>
      </c>
      <c r="F16" s="69">
        <f t="shared" si="4"/>
        <v>-37385279.57</v>
      </c>
      <c r="G16" s="69">
        <f t="shared" si="4"/>
        <v>7550573.390000001</v>
      </c>
      <c r="H16" s="69">
        <f t="shared" si="4"/>
        <v>7550573.390000001</v>
      </c>
      <c r="I16" s="66"/>
      <c r="J16" s="68">
        <f>SUM(J5:J15)</f>
        <v>5956916.19</v>
      </c>
      <c r="K16" s="68">
        <f>SUM(K5:K15)</f>
        <v>1593657.2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0.036028</f>
        <v>0.036028</v>
      </c>
      <c r="C18" s="64">
        <f>317478.17</f>
        <v>317478.17</v>
      </c>
      <c r="D18" s="64">
        <v>0</v>
      </c>
      <c r="E18" s="64">
        <f>940.11</f>
        <v>940.11</v>
      </c>
      <c r="F18" s="64">
        <v>0</v>
      </c>
      <c r="G18" s="65">
        <f aca="true" t="shared" si="5" ref="G18:G23">SUM(C18:F18)</f>
        <v>318418.27999999997</v>
      </c>
      <c r="H18" s="65">
        <f aca="true" t="shared" si="6" ref="H18:H23">G18</f>
        <v>318418.27999999997</v>
      </c>
      <c r="I18" s="66"/>
      <c r="J18" s="65">
        <v>0</v>
      </c>
      <c r="K18" s="65">
        <f>H18</f>
        <v>318418.27999999997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0.036028</f>
        <v>0.036028</v>
      </c>
      <c r="C19" s="64">
        <f>4729337.25</f>
        <v>4729337.25</v>
      </c>
      <c r="D19" s="64">
        <v>6000000</v>
      </c>
      <c r="E19" s="64">
        <v>16624.31</v>
      </c>
      <c r="F19" s="64">
        <f>-4000000</f>
        <v>-4000000</v>
      </c>
      <c r="G19" s="65">
        <f t="shared" si="5"/>
        <v>6745961.5600000005</v>
      </c>
      <c r="H19" s="65">
        <f t="shared" si="6"/>
        <v>6745961.5600000005</v>
      </c>
      <c r="I19" s="66"/>
      <c r="J19" s="65">
        <f>H19-K19</f>
        <v>6713897.5600000005</v>
      </c>
      <c r="K19" s="65">
        <v>32064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0.035</f>
        <v>0.035</v>
      </c>
      <c r="C21" s="64">
        <f>865500.46</f>
        <v>865500.46</v>
      </c>
      <c r="D21" s="64">
        <v>0</v>
      </c>
      <c r="E21" s="64">
        <f>2489.62</f>
        <v>2489.62</v>
      </c>
      <c r="F21" s="64">
        <v>0</v>
      </c>
      <c r="G21" s="65">
        <f t="shared" si="5"/>
        <v>867990.08</v>
      </c>
      <c r="H21" s="65">
        <f t="shared" si="6"/>
        <v>867990.08</v>
      </c>
      <c r="I21" s="66"/>
      <c r="J21" s="65">
        <f>H21-K21</f>
        <v>867990.08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0.035</f>
        <v>0.035</v>
      </c>
      <c r="C22" s="64">
        <f>2548648.65</f>
        <v>2548648.65</v>
      </c>
      <c r="D22" s="64">
        <v>1592019</v>
      </c>
      <c r="E22" s="64">
        <v>9056.13</v>
      </c>
      <c r="F22" s="64">
        <v>0</v>
      </c>
      <c r="G22" s="65">
        <f t="shared" si="5"/>
        <v>4149723.78</v>
      </c>
      <c r="H22" s="65">
        <f t="shared" si="6"/>
        <v>4149723.78</v>
      </c>
      <c r="I22" s="66"/>
      <c r="J22" s="65">
        <f>H22-K22</f>
        <v>0</v>
      </c>
      <c r="K22" s="65">
        <f>+G22</f>
        <v>4149723.78</v>
      </c>
      <c r="L22" s="2" t="s">
        <v>40</v>
      </c>
      <c r="N22" s="2" t="s">
        <v>61</v>
      </c>
    </row>
    <row r="23" spans="1:14" s="2" customFormat="1" ht="15" customHeight="1">
      <c r="A23" s="13" t="s">
        <v>56</v>
      </c>
      <c r="B23" s="22">
        <f>0.03554</f>
        <v>0.03554</v>
      </c>
      <c r="C23" s="70">
        <f>5287520.84</f>
        <v>5287520.84</v>
      </c>
      <c r="D23" s="70">
        <v>0</v>
      </c>
      <c r="E23" s="70">
        <v>14789.63</v>
      </c>
      <c r="F23" s="70">
        <f>-3250000</f>
        <v>-3250000</v>
      </c>
      <c r="G23" s="68">
        <f t="shared" si="5"/>
        <v>2052310.4699999997</v>
      </c>
      <c r="H23" s="68">
        <f t="shared" si="6"/>
        <v>2052310.4699999997</v>
      </c>
      <c r="I23" s="66"/>
      <c r="J23" s="68">
        <f>H23-K23</f>
        <v>1995293.1899999997</v>
      </c>
      <c r="K23" s="68">
        <f>57017.28</f>
        <v>57017.28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13748485.37</v>
      </c>
      <c r="D24" s="70">
        <f t="shared" si="7"/>
        <v>7592019</v>
      </c>
      <c r="E24" s="70">
        <f t="shared" si="7"/>
        <v>43899.799999999996</v>
      </c>
      <c r="F24" s="70">
        <f t="shared" si="7"/>
        <v>-7250000</v>
      </c>
      <c r="G24" s="68">
        <f t="shared" si="7"/>
        <v>14134404.170000002</v>
      </c>
      <c r="H24" s="68">
        <f t="shared" si="7"/>
        <v>14134404.170000002</v>
      </c>
      <c r="I24" s="66"/>
      <c r="J24" s="68">
        <f>SUM(J18:J23)</f>
        <v>9577180.83</v>
      </c>
      <c r="K24" s="68">
        <f>SUM(K18:K23)</f>
        <v>4557223.34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2036515.55</f>
        <v>2036515.55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2043448.8900000001</v>
      </c>
      <c r="H26" s="66">
        <f>2011568.89</f>
        <v>2011568.89</v>
      </c>
      <c r="I26" s="66"/>
      <c r="J26" s="66">
        <v>0</v>
      </c>
      <c r="K26" s="66">
        <f aca="true" t="shared" si="9" ref="K26:K32">G26</f>
        <v>2043448.8900000001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485456</f>
        <v>485456</v>
      </c>
      <c r="D27" s="67">
        <v>0</v>
      </c>
      <c r="E27" s="67">
        <v>1364</v>
      </c>
      <c r="F27" s="67">
        <v>0</v>
      </c>
      <c r="G27" s="66">
        <f t="shared" si="8"/>
        <v>486820</v>
      </c>
      <c r="H27" s="66">
        <f>477522.4</f>
        <v>477522.4</v>
      </c>
      <c r="I27" s="66"/>
      <c r="J27" s="66">
        <v>0</v>
      </c>
      <c r="K27" s="66">
        <f t="shared" si="9"/>
        <v>486820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1011000</f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999130</f>
        <v>999130</v>
      </c>
      <c r="I28" s="66"/>
      <c r="J28" s="66">
        <v>0</v>
      </c>
      <c r="K28" s="66">
        <f t="shared" si="9"/>
        <v>1013500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525845.66</f>
        <v>525845.66</v>
      </c>
      <c r="D29" s="67">
        <v>0</v>
      </c>
      <c r="E29" s="67">
        <f>1538.34</f>
        <v>1538.34</v>
      </c>
      <c r="F29" s="67">
        <v>0</v>
      </c>
      <c r="G29" s="66">
        <f t="shared" si="8"/>
        <v>527384</v>
      </c>
      <c r="H29" s="66">
        <f>518611.6</f>
        <v>518611.6</v>
      </c>
      <c r="I29" s="66"/>
      <c r="J29" s="66">
        <v>0</v>
      </c>
      <c r="K29" s="66">
        <f t="shared" si="9"/>
        <v>527384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1010610.83</f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994835.83</f>
        <v>994835.83</v>
      </c>
      <c r="I30" s="66"/>
      <c r="J30" s="66">
        <v>0</v>
      </c>
      <c r="K30" s="66">
        <f t="shared" si="9"/>
        <v>1013585.83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1012750</f>
        <v>1012750</v>
      </c>
      <c r="D31" s="67">
        <v>0</v>
      </c>
      <c r="E31" s="67">
        <f>2583.33</f>
        <v>2583.33</v>
      </c>
      <c r="F31" s="67">
        <v>0</v>
      </c>
      <c r="G31" s="66">
        <f t="shared" si="8"/>
        <v>1015333.33</v>
      </c>
      <c r="H31" s="66">
        <f>1014393.33</f>
        <v>1014393.33</v>
      </c>
      <c r="I31" s="66"/>
      <c r="J31" s="66">
        <v>0</v>
      </c>
      <c r="K31" s="66">
        <f t="shared" si="9"/>
        <v>1015333.33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2897.59</f>
        <v>2897.59</v>
      </c>
      <c r="D32" s="70">
        <v>0</v>
      </c>
      <c r="E32" s="70">
        <f>4.69</f>
        <v>4.69</v>
      </c>
      <c r="F32" s="70">
        <v>0</v>
      </c>
      <c r="G32" s="68">
        <f t="shared" si="8"/>
        <v>2902.28</v>
      </c>
      <c r="H32" s="68">
        <f>2902.28</f>
        <v>2902.28</v>
      </c>
      <c r="I32" s="66"/>
      <c r="J32" s="68">
        <v>0</v>
      </c>
      <c r="K32" s="68">
        <f t="shared" si="9"/>
        <v>2902.28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6085075.63</v>
      </c>
      <c r="D33" s="71">
        <f t="shared" si="10"/>
        <v>0</v>
      </c>
      <c r="E33" s="71">
        <f t="shared" si="10"/>
        <v>17898.7</v>
      </c>
      <c r="F33" s="71">
        <f t="shared" si="10"/>
        <v>0</v>
      </c>
      <c r="G33" s="72">
        <f t="shared" si="10"/>
        <v>6102974.33</v>
      </c>
      <c r="H33" s="72">
        <f t="shared" si="10"/>
        <v>6018964.33</v>
      </c>
      <c r="I33" s="73"/>
      <c r="J33" s="72">
        <f>SUM(J26:J26)</f>
        <v>0</v>
      </c>
      <c r="K33" s="72">
        <f>SUM(K26:K32)</f>
        <v>6102974.33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26751623.06</v>
      </c>
      <c r="D35" s="77">
        <f t="shared" si="11"/>
        <v>45584296.77</v>
      </c>
      <c r="E35" s="77">
        <f t="shared" si="11"/>
        <v>87311.63</v>
      </c>
      <c r="F35" s="77">
        <f t="shared" si="11"/>
        <v>-44635279.57</v>
      </c>
      <c r="G35" s="78">
        <f t="shared" si="11"/>
        <v>27787951.89</v>
      </c>
      <c r="H35" s="78">
        <f t="shared" si="11"/>
        <v>27703941.89</v>
      </c>
      <c r="I35" s="73"/>
      <c r="J35" s="78">
        <f>SUM(J33,J24,J16)</f>
        <v>15534097.02</v>
      </c>
      <c r="K35" s="78">
        <f>SUM(K33,K24,K16)</f>
        <v>12253854.87</v>
      </c>
      <c r="M35" s="17"/>
    </row>
    <row r="36" spans="1:11" ht="15" customHeight="1" thickTop="1">
      <c r="A36" s="5"/>
      <c r="B36" s="5"/>
      <c r="C36" s="75"/>
      <c r="D36" s="75"/>
      <c r="E36" s="75"/>
      <c r="F36" s="75"/>
      <c r="G36" s="75"/>
      <c r="H36" s="75"/>
      <c r="I36" s="73"/>
      <c r="J36" s="75"/>
      <c r="K36" s="75"/>
    </row>
    <row r="37" spans="1:11" ht="15" customHeight="1">
      <c r="A37" s="12" t="s">
        <v>31</v>
      </c>
      <c r="C37" s="40" t="s">
        <v>62</v>
      </c>
      <c r="D37" s="40" t="s">
        <v>58</v>
      </c>
      <c r="E37" s="40" t="s">
        <v>63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0.03745</f>
        <v>0.03745</v>
      </c>
      <c r="D38" s="18">
        <f>0.03705</f>
        <v>0.03705</v>
      </c>
      <c r="E38" s="18">
        <f>0.0195</f>
        <v>0.0195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SEPTEMBER 30, 2005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142">
    <pageSetUpPr fitToPage="1"/>
  </sheetPr>
  <dimension ref="A1:O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64</v>
      </c>
      <c r="D3" s="29" t="s">
        <v>10</v>
      </c>
      <c r="E3" s="29" t="s">
        <v>54</v>
      </c>
      <c r="F3" s="29" t="s">
        <v>11</v>
      </c>
      <c r="G3" s="41" t="s">
        <v>67</v>
      </c>
      <c r="H3" s="41" t="s">
        <v>67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0.0412</f>
        <v>0.0412</v>
      </c>
      <c r="C5" s="64">
        <f>990521.01</f>
        <v>990521.01</v>
      </c>
      <c r="D5" s="64">
        <f>8432562.8</f>
        <v>8432562.8</v>
      </c>
      <c r="E5" s="64">
        <f>6073.7</f>
        <v>6073.7</v>
      </c>
      <c r="F5" s="64">
        <f>-5541481.13</f>
        <v>-5541481.13</v>
      </c>
      <c r="G5" s="65">
        <f aca="true" t="shared" si="0" ref="G5:G15">SUM(C5:F5)</f>
        <v>3887676.38</v>
      </c>
      <c r="H5" s="65">
        <f aca="true" t="shared" si="1" ref="H5:H14">G5</f>
        <v>3887676.38</v>
      </c>
      <c r="I5" s="66"/>
      <c r="J5" s="65">
        <f>H5-K5</f>
        <v>3887676.38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0.0412</f>
        <v>0.0412</v>
      </c>
      <c r="C6" s="64">
        <f>860259.83</f>
        <v>860259.83</v>
      </c>
      <c r="D6" s="64">
        <f>427060.55</f>
        <v>427060.55</v>
      </c>
      <c r="E6" s="64">
        <f>2060.9</f>
        <v>2060.9</v>
      </c>
      <c r="F6" s="64">
        <f>-880040.11</f>
        <v>-880040.11</v>
      </c>
      <c r="G6" s="65">
        <f t="shared" si="0"/>
        <v>409341.1699999998</v>
      </c>
      <c r="H6" s="65">
        <f t="shared" si="1"/>
        <v>409341.1699999998</v>
      </c>
      <c r="I6" s="66"/>
      <c r="J6" s="65">
        <f>H6</f>
        <v>409341.1699999998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0.0412</f>
        <v>0.0412</v>
      </c>
      <c r="C7" s="64">
        <f>970261.43</f>
        <v>970261.43</v>
      </c>
      <c r="D7" s="64">
        <f>2934610.12</f>
        <v>2934610.12</v>
      </c>
      <c r="E7" s="64">
        <f>3233.87</f>
        <v>3233.87</v>
      </c>
      <c r="F7" s="64">
        <f>-3075280.84</f>
        <v>-3075280.84</v>
      </c>
      <c r="G7" s="65">
        <f t="shared" si="0"/>
        <v>832824.5800000005</v>
      </c>
      <c r="H7" s="65">
        <f t="shared" si="1"/>
        <v>832824.5800000005</v>
      </c>
      <c r="I7" s="66"/>
      <c r="J7" s="65">
        <f>H7</f>
        <v>832824.5800000005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0.0412</f>
        <v>0.0412</v>
      </c>
      <c r="C8" s="64">
        <f>30362.22</f>
        <v>30362.22</v>
      </c>
      <c r="D8" s="64">
        <f>2598267.86</f>
        <v>2598267.86</v>
      </c>
      <c r="E8" s="64">
        <f>651.84</f>
        <v>651.84</v>
      </c>
      <c r="F8" s="64">
        <f>-2598630.08</f>
        <v>-2598630.08</v>
      </c>
      <c r="G8" s="65">
        <f t="shared" si="0"/>
        <v>30651.83999999985</v>
      </c>
      <c r="H8" s="65">
        <f t="shared" si="1"/>
        <v>30651.83999999985</v>
      </c>
      <c r="I8" s="66"/>
      <c r="J8" s="65">
        <f>H8</f>
        <v>30651.83999999985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0.0412</f>
        <v>0.0412</v>
      </c>
      <c r="C9" s="64">
        <f>1598367.45</f>
        <v>1598367.45</v>
      </c>
      <c r="D9" s="64">
        <v>0</v>
      </c>
      <c r="E9" s="64">
        <f>5307.45</f>
        <v>5307.45</v>
      </c>
      <c r="F9" s="64">
        <v>0</v>
      </c>
      <c r="G9" s="65">
        <f t="shared" si="0"/>
        <v>1603674.9</v>
      </c>
      <c r="H9" s="65">
        <f t="shared" si="1"/>
        <v>1603674.9</v>
      </c>
      <c r="I9" s="66"/>
      <c r="J9" s="65">
        <v>0</v>
      </c>
      <c r="K9" s="65">
        <f>+H9</f>
        <v>1603674.9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1408.21</f>
        <v>1408.21</v>
      </c>
      <c r="D10" s="64">
        <f>5000</f>
        <v>5000</v>
      </c>
      <c r="E10" s="64">
        <v>0</v>
      </c>
      <c r="F10" s="64">
        <f>-3698.48</f>
        <v>-3698.48</v>
      </c>
      <c r="G10" s="65">
        <f t="shared" si="0"/>
        <v>2709.73</v>
      </c>
      <c r="H10" s="65">
        <f t="shared" si="1"/>
        <v>2709.73</v>
      </c>
      <c r="I10" s="66"/>
      <c r="J10" s="65">
        <f aca="true" t="shared" si="3" ref="J10:J15">H10</f>
        <v>2709.73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2024788.42</f>
        <v>2024788.42</v>
      </c>
      <c r="E11" s="64">
        <v>0</v>
      </c>
      <c r="F11" s="64">
        <f>-2024788.42</f>
        <v>-2024788.42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51710</f>
        <v>51710</v>
      </c>
      <c r="D12" s="64">
        <f>924213.8</f>
        <v>924213.8</v>
      </c>
      <c r="E12" s="64">
        <v>0</v>
      </c>
      <c r="F12" s="64">
        <f>-801452.01</f>
        <v>-801452.01</v>
      </c>
      <c r="G12" s="65">
        <f t="shared" si="0"/>
        <v>174471.79000000004</v>
      </c>
      <c r="H12" s="65">
        <f t="shared" si="1"/>
        <v>174471.79000000004</v>
      </c>
      <c r="I12" s="66"/>
      <c r="J12" s="65">
        <f t="shared" si="3"/>
        <v>174471.79000000004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4624.88</f>
        <v>4624.88</v>
      </c>
      <c r="D13" s="64">
        <v>0</v>
      </c>
      <c r="E13" s="64">
        <v>0</v>
      </c>
      <c r="F13" s="64">
        <f>-523.37</f>
        <v>-523.37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12309.13</f>
        <v>12309.13</v>
      </c>
      <c r="D14" s="67">
        <f>35401.67</f>
        <v>35401.67</v>
      </c>
      <c r="E14" s="67">
        <v>0</v>
      </c>
      <c r="F14" s="67">
        <f>-107.01</f>
        <v>-107.01</v>
      </c>
      <c r="G14" s="66">
        <f t="shared" si="0"/>
        <v>47603.78999999999</v>
      </c>
      <c r="H14" s="66">
        <f t="shared" si="1"/>
        <v>47603.78999999999</v>
      </c>
      <c r="I14" s="66"/>
      <c r="J14" s="66">
        <f t="shared" si="3"/>
        <v>47603.78999999999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32446.35</f>
        <v>32446.35</v>
      </c>
      <c r="D15" s="67">
        <f>3469+838+95+592</f>
        <v>4994</v>
      </c>
      <c r="E15" s="67">
        <v>0</v>
      </c>
      <c r="F15" s="67">
        <v>0</v>
      </c>
      <c r="G15" s="66">
        <f t="shared" si="0"/>
        <v>37440.35</v>
      </c>
      <c r="H15" s="68">
        <f>+G15</f>
        <v>37440.35</v>
      </c>
      <c r="I15" s="66"/>
      <c r="J15" s="68">
        <f t="shared" si="3"/>
        <v>37440.35</v>
      </c>
      <c r="K15" s="68">
        <v>0</v>
      </c>
      <c r="L15" s="25">
        <f t="shared" si="2"/>
        <v>0</v>
      </c>
      <c r="N15" s="13" t="s">
        <v>61</v>
      </c>
      <c r="O15" s="42">
        <f>+G15-27145.1</f>
        <v>10295.25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4577270.51</v>
      </c>
      <c r="D16" s="69">
        <f t="shared" si="4"/>
        <v>17386899.220000003</v>
      </c>
      <c r="E16" s="69">
        <f t="shared" si="4"/>
        <v>17327.760000000002</v>
      </c>
      <c r="F16" s="69">
        <f t="shared" si="4"/>
        <v>-14926001.45</v>
      </c>
      <c r="G16" s="69">
        <f t="shared" si="4"/>
        <v>7055496.040000001</v>
      </c>
      <c r="H16" s="69">
        <f t="shared" si="4"/>
        <v>7055496.040000001</v>
      </c>
      <c r="I16" s="66"/>
      <c r="J16" s="68">
        <f>SUM(J5:J15)</f>
        <v>5451821.140000001</v>
      </c>
      <c r="K16" s="68">
        <f>SUM(K5:K15)</f>
        <v>1603674.9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0.039888</f>
        <v>0.039888</v>
      </c>
      <c r="C18" s="64">
        <f>319441.15</f>
        <v>319441.15</v>
      </c>
      <c r="D18" s="64">
        <v>0</v>
      </c>
      <c r="E18" s="64">
        <f>1047.28</f>
        <v>1047.28</v>
      </c>
      <c r="F18" s="64">
        <v>0</v>
      </c>
      <c r="G18" s="65">
        <f aca="true" t="shared" si="5" ref="G18:G23">SUM(C18:F18)</f>
        <v>320488.43000000005</v>
      </c>
      <c r="H18" s="65">
        <f aca="true" t="shared" si="6" ref="H18:H23">G18</f>
        <v>320488.43000000005</v>
      </c>
      <c r="I18" s="66"/>
      <c r="J18" s="65">
        <v>0</v>
      </c>
      <c r="K18" s="65">
        <f>H18</f>
        <v>320488.43000000005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0.039888</f>
        <v>0.039888</v>
      </c>
      <c r="C19" s="64">
        <f>5764937.22</f>
        <v>5764937.22</v>
      </c>
      <c r="D19" s="64">
        <v>0</v>
      </c>
      <c r="E19" s="64">
        <f>14304.79</f>
        <v>14304.79</v>
      </c>
      <c r="F19" s="64">
        <f>-1500000</f>
        <v>-1500000</v>
      </c>
      <c r="G19" s="65">
        <f t="shared" si="5"/>
        <v>4279242.01</v>
      </c>
      <c r="H19" s="65">
        <f t="shared" si="6"/>
        <v>4279242.01</v>
      </c>
      <c r="I19" s="66"/>
      <c r="J19" s="65">
        <f>H19-K19</f>
        <v>4247178.01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0.0391</f>
        <v>0.0391</v>
      </c>
      <c r="C21" s="64">
        <f>870691.05</f>
        <v>870691.05</v>
      </c>
      <c r="D21" s="64">
        <v>0</v>
      </c>
      <c r="E21" s="64">
        <f>2797.78</f>
        <v>2797.78</v>
      </c>
      <c r="F21" s="64">
        <v>0</v>
      </c>
      <c r="G21" s="65">
        <f t="shared" si="5"/>
        <v>873488.8300000001</v>
      </c>
      <c r="H21" s="65">
        <f t="shared" si="6"/>
        <v>873488.8300000001</v>
      </c>
      <c r="I21" s="66"/>
      <c r="J21" s="65">
        <f>H21-K21</f>
        <v>873488.8300000001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0.0391</f>
        <v>0.0391</v>
      </c>
      <c r="C22" s="64">
        <f>4162637.29</f>
        <v>4162637.29</v>
      </c>
      <c r="D22" s="64">
        <v>0</v>
      </c>
      <c r="E22" s="64">
        <f>13375.74</f>
        <v>13375.74</v>
      </c>
      <c r="F22" s="64">
        <v>0</v>
      </c>
      <c r="G22" s="65">
        <f t="shared" si="5"/>
        <v>4176013.0300000003</v>
      </c>
      <c r="H22" s="65">
        <f t="shared" si="6"/>
        <v>4176013.0300000003</v>
      </c>
      <c r="I22" s="66"/>
      <c r="J22" s="65">
        <f>H22-K22</f>
        <v>0</v>
      </c>
      <c r="K22" s="65">
        <f>+G22</f>
        <v>4176013.0300000003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0.039998</f>
        <v>0.039998</v>
      </c>
      <c r="C23" s="70">
        <f>2058776.37</f>
        <v>2058776.37</v>
      </c>
      <c r="D23" s="70">
        <v>0</v>
      </c>
      <c r="E23" s="70">
        <f>6641.49</f>
        <v>6641.49</v>
      </c>
      <c r="F23" s="70">
        <v>0</v>
      </c>
      <c r="G23" s="68">
        <f t="shared" si="5"/>
        <v>2065417.86</v>
      </c>
      <c r="H23" s="68">
        <f t="shared" si="6"/>
        <v>2065417.86</v>
      </c>
      <c r="I23" s="66"/>
      <c r="J23" s="68">
        <f>H23-K23</f>
        <v>2008036.4300000002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13176483.080000002</v>
      </c>
      <c r="D24" s="70">
        <f t="shared" si="7"/>
        <v>0</v>
      </c>
      <c r="E24" s="70">
        <f t="shared" si="7"/>
        <v>38167.08</v>
      </c>
      <c r="F24" s="70">
        <f t="shared" si="7"/>
        <v>-1500000</v>
      </c>
      <c r="G24" s="68">
        <f t="shared" si="7"/>
        <v>11714650.16</v>
      </c>
      <c r="H24" s="68">
        <f t="shared" si="7"/>
        <v>11714650.16</v>
      </c>
      <c r="I24" s="66"/>
      <c r="J24" s="68">
        <f>SUM(J18:J23)</f>
        <v>7128703.27</v>
      </c>
      <c r="K24" s="68">
        <f>SUM(K18:K23)</f>
        <v>4585946.89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2008782.23</f>
        <v>2008782.23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2015715.57</v>
      </c>
      <c r="H26" s="66">
        <f>1966335.57</f>
        <v>1966335.57</v>
      </c>
      <c r="I26" s="66"/>
      <c r="J26" s="66">
        <v>0</v>
      </c>
      <c r="K26" s="66">
        <f aca="true" t="shared" si="9" ref="K26:K32">G26</f>
        <v>2015715.57</v>
      </c>
      <c r="L26" s="2" t="s">
        <v>38</v>
      </c>
      <c r="N26" s="27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488184</f>
        <v>488184</v>
      </c>
      <c r="D27" s="67">
        <v>0</v>
      </c>
      <c r="E27" s="67">
        <v>1364</v>
      </c>
      <c r="F27" s="67">
        <f>-8184</f>
        <v>-8184</v>
      </c>
      <c r="G27" s="66">
        <f t="shared" si="8"/>
        <v>481364</v>
      </c>
      <c r="H27" s="66">
        <f>469815.2</f>
        <v>469815.2</v>
      </c>
      <c r="I27" s="66"/>
      <c r="J27" s="66">
        <v>0</v>
      </c>
      <c r="K27" s="66">
        <f t="shared" si="9"/>
        <v>481364</v>
      </c>
      <c r="L27" s="2" t="s">
        <v>39</v>
      </c>
      <c r="N27" s="27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1016000</f>
        <v>1016000</v>
      </c>
      <c r="D28" s="67">
        <v>0</v>
      </c>
      <c r="E28" s="67">
        <f>2500</f>
        <v>2500</v>
      </c>
      <c r="F28" s="67">
        <f>-15000</f>
        <v>-15000</v>
      </c>
      <c r="G28" s="66">
        <f t="shared" si="8"/>
        <v>1003500</v>
      </c>
      <c r="H28" s="66">
        <f>984130</f>
        <v>984130</v>
      </c>
      <c r="I28" s="66"/>
      <c r="J28" s="66">
        <v>0</v>
      </c>
      <c r="K28" s="66">
        <f t="shared" si="9"/>
        <v>1003500</v>
      </c>
      <c r="L28" s="2" t="s">
        <v>41</v>
      </c>
      <c r="N28" s="27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528922.34</f>
        <v>528922.34</v>
      </c>
      <c r="D29" s="67">
        <v>0</v>
      </c>
      <c r="E29" s="67">
        <f>1538.34</f>
        <v>1538.34</v>
      </c>
      <c r="F29" s="67">
        <f>-9230</f>
        <v>-9230</v>
      </c>
      <c r="G29" s="66">
        <f t="shared" si="8"/>
        <v>521230.67999999993</v>
      </c>
      <c r="H29" s="66">
        <f>510019.48</f>
        <v>510019.48</v>
      </c>
      <c r="I29" s="66"/>
      <c r="J29" s="66">
        <v>0</v>
      </c>
      <c r="K29" s="66">
        <f t="shared" si="9"/>
        <v>521230.67999999993</v>
      </c>
      <c r="L29" s="2" t="s">
        <v>46</v>
      </c>
      <c r="N29" s="27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1016560.83</f>
        <v>1016560.83</v>
      </c>
      <c r="D30" s="67">
        <v>0</v>
      </c>
      <c r="E30" s="67">
        <f>2975</f>
        <v>2975</v>
      </c>
      <c r="F30" s="67">
        <f>-17850</f>
        <v>-17850</v>
      </c>
      <c r="G30" s="66">
        <f t="shared" si="8"/>
        <v>1001685.83</v>
      </c>
      <c r="H30" s="66">
        <f>977935.83</f>
        <v>977935.83</v>
      </c>
      <c r="I30" s="66"/>
      <c r="J30" s="66">
        <v>0</v>
      </c>
      <c r="K30" s="66">
        <f t="shared" si="9"/>
        <v>1001685.83</v>
      </c>
      <c r="L30" s="2" t="s">
        <v>47</v>
      </c>
      <c r="N30" s="27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1002916.66</f>
        <v>1002916.66</v>
      </c>
      <c r="D31" s="67">
        <v>0</v>
      </c>
      <c r="E31" s="67">
        <f>2583.33</f>
        <v>2583.33</v>
      </c>
      <c r="F31" s="67">
        <v>0</v>
      </c>
      <c r="G31" s="66">
        <f t="shared" si="8"/>
        <v>1005499.99</v>
      </c>
      <c r="H31" s="66">
        <f>1002999.99</f>
        <v>1002999.99</v>
      </c>
      <c r="I31" s="66"/>
      <c r="J31" s="66">
        <v>0</v>
      </c>
      <c r="K31" s="66">
        <f t="shared" si="9"/>
        <v>1005499.99</v>
      </c>
      <c r="L31" s="2" t="s">
        <v>51</v>
      </c>
      <c r="N31" s="27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2906.73</f>
        <v>2906.73</v>
      </c>
      <c r="D32" s="70">
        <v>0</v>
      </c>
      <c r="E32" s="70">
        <f>4.49</f>
        <v>4.49</v>
      </c>
      <c r="F32" s="70">
        <v>0</v>
      </c>
      <c r="G32" s="68">
        <f t="shared" si="8"/>
        <v>2911.22</v>
      </c>
      <c r="H32" s="68">
        <f>2911.22</f>
        <v>2911.22</v>
      </c>
      <c r="I32" s="66"/>
      <c r="J32" s="68">
        <v>0</v>
      </c>
      <c r="K32" s="68">
        <f t="shared" si="9"/>
        <v>2911.22</v>
      </c>
      <c r="L32" s="2" t="s">
        <v>53</v>
      </c>
      <c r="N32" s="27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6064272.79</v>
      </c>
      <c r="D33" s="71">
        <f t="shared" si="10"/>
        <v>0</v>
      </c>
      <c r="E33" s="71">
        <f t="shared" si="10"/>
        <v>17898.500000000004</v>
      </c>
      <c r="F33" s="71">
        <f t="shared" si="10"/>
        <v>-50264</v>
      </c>
      <c r="G33" s="72">
        <f t="shared" si="10"/>
        <v>6031907.29</v>
      </c>
      <c r="H33" s="72">
        <f t="shared" si="10"/>
        <v>5914147.29</v>
      </c>
      <c r="I33" s="73"/>
      <c r="J33" s="72">
        <f>SUM(J26:J26)</f>
        <v>0</v>
      </c>
      <c r="K33" s="72">
        <f>SUM(K26:K32)</f>
        <v>6031907.29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23818026.380000003</v>
      </c>
      <c r="D35" s="77">
        <f t="shared" si="11"/>
        <v>17386899.220000003</v>
      </c>
      <c r="E35" s="77">
        <f t="shared" si="11"/>
        <v>73393.34</v>
      </c>
      <c r="F35" s="77">
        <f t="shared" si="11"/>
        <v>-16476265.45</v>
      </c>
      <c r="G35" s="78">
        <f t="shared" si="11"/>
        <v>24802053.490000002</v>
      </c>
      <c r="H35" s="78">
        <f t="shared" si="11"/>
        <v>24684293.490000002</v>
      </c>
      <c r="I35" s="73"/>
      <c r="J35" s="78">
        <f>SUM(J33,J24,J16)</f>
        <v>12580524.41</v>
      </c>
      <c r="K35" s="78">
        <f>SUM(K33,K24,K16)</f>
        <v>12221529.08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67</v>
      </c>
      <c r="D37" s="40" t="s">
        <v>64</v>
      </c>
      <c r="E37" s="40" t="s">
        <v>68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0.04155</f>
        <v>0.04155</v>
      </c>
      <c r="D38" s="18">
        <f>0.04125</f>
        <v>0.04125</v>
      </c>
      <c r="E38" s="18">
        <v>0.02395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NOVEMBER 30, 2005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145">
    <pageSetUpPr fitToPage="1"/>
  </sheetPr>
  <dimension ref="A1:O51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67</v>
      </c>
      <c r="D3" s="29" t="s">
        <v>10</v>
      </c>
      <c r="E3" s="29" t="s">
        <v>54</v>
      </c>
      <c r="F3" s="29" t="s">
        <v>11</v>
      </c>
      <c r="G3" s="41" t="s">
        <v>70</v>
      </c>
      <c r="H3" s="41" t="s">
        <v>70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0.0428</f>
        <v>0.0428</v>
      </c>
      <c r="C5" s="64">
        <v>3887676.38</v>
      </c>
      <c r="D5" s="64">
        <f>4777356.41</f>
        <v>4777356.41</v>
      </c>
      <c r="E5" s="64">
        <f>13528.94</f>
        <v>13528.94</v>
      </c>
      <c r="F5" s="64">
        <f>-5508208.75</f>
        <v>-5508208.75</v>
      </c>
      <c r="G5" s="65">
        <f aca="true" t="shared" si="0" ref="G5:G15">SUM(C5:F5)</f>
        <v>3170352.9799999986</v>
      </c>
      <c r="H5" s="65">
        <f aca="true" t="shared" si="1" ref="H5:H14">G5</f>
        <v>3170352.9799999986</v>
      </c>
      <c r="I5" s="66"/>
      <c r="J5" s="65">
        <f>H5-K5</f>
        <v>3170352.9799999986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0.0428</f>
        <v>0.0428</v>
      </c>
      <c r="C6" s="64">
        <v>409341.17</v>
      </c>
      <c r="D6" s="64">
        <f>201715.24</f>
        <v>201715.24</v>
      </c>
      <c r="E6" s="64">
        <f>860.77</f>
        <v>860.77</v>
      </c>
      <c r="F6" s="64">
        <f>-370605.08</f>
        <v>-370605.08</v>
      </c>
      <c r="G6" s="65">
        <f t="shared" si="0"/>
        <v>241312.09999999992</v>
      </c>
      <c r="H6" s="65">
        <f t="shared" si="1"/>
        <v>241312.09999999992</v>
      </c>
      <c r="I6" s="66"/>
      <c r="J6" s="65">
        <f>H6</f>
        <v>241312.09999999992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0.0428</f>
        <v>0.0428</v>
      </c>
      <c r="C7" s="64">
        <v>832824.58</v>
      </c>
      <c r="D7" s="64">
        <f>1449458.09</f>
        <v>1449458.09</v>
      </c>
      <c r="E7" s="64">
        <f>2702.25</f>
        <v>2702.25</v>
      </c>
      <c r="F7" s="64">
        <f>-1796165.37</f>
        <v>-1796165.37</v>
      </c>
      <c r="G7" s="65">
        <f t="shared" si="0"/>
        <v>488819.5499999998</v>
      </c>
      <c r="H7" s="65">
        <f t="shared" si="1"/>
        <v>488819.5499999998</v>
      </c>
      <c r="I7" s="66"/>
      <c r="J7" s="65">
        <f>H7</f>
        <v>488819.5499999998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0.0428</f>
        <v>0.0428</v>
      </c>
      <c r="C8" s="64">
        <v>30651.84</v>
      </c>
      <c r="D8" s="64">
        <f>2630847.92</f>
        <v>2630847.92</v>
      </c>
      <c r="E8" s="64">
        <f>1292.66</f>
        <v>1292.66</v>
      </c>
      <c r="F8" s="64">
        <f>-2631499.76</f>
        <v>-2631499.76</v>
      </c>
      <c r="G8" s="65">
        <f t="shared" si="0"/>
        <v>31292.66000000015</v>
      </c>
      <c r="H8" s="65">
        <f t="shared" si="1"/>
        <v>31292.66000000015</v>
      </c>
      <c r="I8" s="66"/>
      <c r="J8" s="65">
        <f>H8</f>
        <v>31292.66000000015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0.0428</f>
        <v>0.0428</v>
      </c>
      <c r="C9" s="64">
        <v>1603674.9</v>
      </c>
      <c r="D9" s="64">
        <v>0</v>
      </c>
      <c r="E9" s="64">
        <f>5720.51</f>
        <v>5720.51</v>
      </c>
      <c r="F9" s="64">
        <v>0</v>
      </c>
      <c r="G9" s="65">
        <f t="shared" si="0"/>
        <v>1609395.41</v>
      </c>
      <c r="H9" s="65">
        <f t="shared" si="1"/>
        <v>1609395.41</v>
      </c>
      <c r="I9" s="66"/>
      <c r="J9" s="65">
        <v>0</v>
      </c>
      <c r="K9" s="65">
        <f>+H9</f>
        <v>1609395.41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2709.73</f>
        <v>2709.73</v>
      </c>
      <c r="D10" s="64">
        <f>6000</f>
        <v>6000</v>
      </c>
      <c r="E10" s="64">
        <v>0</v>
      </c>
      <c r="F10" s="64">
        <f>-5167.02</f>
        <v>-5167.02</v>
      </c>
      <c r="G10" s="65">
        <f t="shared" si="0"/>
        <v>3542.709999999999</v>
      </c>
      <c r="H10" s="65">
        <f t="shared" si="1"/>
        <v>3542.709999999999</v>
      </c>
      <c r="I10" s="66"/>
      <c r="J10" s="65">
        <f aca="true" t="shared" si="3" ref="J10:J15">H10</f>
        <v>3542.709999999999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924802.86</f>
        <v>924802.86</v>
      </c>
      <c r="E11" s="64">
        <v>0</v>
      </c>
      <c r="F11" s="64">
        <f>-925786.86</f>
        <v>-925786.86</v>
      </c>
      <c r="G11" s="65">
        <f t="shared" si="0"/>
        <v>24016</v>
      </c>
      <c r="H11" s="65">
        <f t="shared" si="1"/>
        <v>24016</v>
      </c>
      <c r="I11" s="66"/>
      <c r="J11" s="65">
        <f t="shared" si="3"/>
        <v>24016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174471.79</f>
        <v>174471.79</v>
      </c>
      <c r="D12" s="64">
        <f>386148.15</f>
        <v>386148.15</v>
      </c>
      <c r="E12" s="64">
        <v>0</v>
      </c>
      <c r="F12" s="64">
        <f>-511219.94</f>
        <v>-511219.94</v>
      </c>
      <c r="G12" s="65">
        <f t="shared" si="0"/>
        <v>49400.00000000006</v>
      </c>
      <c r="H12" s="65">
        <f t="shared" si="1"/>
        <v>49400.00000000006</v>
      </c>
      <c r="I12" s="66"/>
      <c r="J12" s="65">
        <f t="shared" si="3"/>
        <v>49400.00000000006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47603.79</f>
        <v>47603.79</v>
      </c>
      <c r="D14" s="67">
        <f>17908.13</f>
        <v>17908.13</v>
      </c>
      <c r="E14" s="67">
        <v>0</v>
      </c>
      <c r="F14" s="67">
        <f>-19563.98</f>
        <v>-19563.98</v>
      </c>
      <c r="G14" s="66">
        <f t="shared" si="0"/>
        <v>45947.94</v>
      </c>
      <c r="H14" s="66">
        <f t="shared" si="1"/>
        <v>45947.94</v>
      </c>
      <c r="I14" s="66"/>
      <c r="J14" s="66">
        <f t="shared" si="3"/>
        <v>45947.94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37440.35</f>
        <v>37440.35</v>
      </c>
      <c r="D15" s="67">
        <f>3998.01</f>
        <v>3998.01</v>
      </c>
      <c r="E15" s="67">
        <v>0</v>
      </c>
      <c r="F15" s="67">
        <f>-25000</f>
        <v>-25000</v>
      </c>
      <c r="G15" s="66">
        <f t="shared" si="0"/>
        <v>16438.36</v>
      </c>
      <c r="H15" s="68">
        <f>+G15</f>
        <v>16438.36</v>
      </c>
      <c r="I15" s="66"/>
      <c r="J15" s="68">
        <f t="shared" si="3"/>
        <v>16438.36</v>
      </c>
      <c r="K15" s="68">
        <v>0</v>
      </c>
      <c r="L15" s="25">
        <f t="shared" si="2"/>
        <v>0</v>
      </c>
      <c r="N15" s="13" t="s">
        <v>61</v>
      </c>
      <c r="O15" s="42">
        <f>+G15-27145.1</f>
        <v>-10706.739999999998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7055496.039999999</v>
      </c>
      <c r="D16" s="69">
        <f t="shared" si="4"/>
        <v>10398234.81</v>
      </c>
      <c r="E16" s="69">
        <f t="shared" si="4"/>
        <v>24105.129999999997</v>
      </c>
      <c r="F16" s="69">
        <f t="shared" si="4"/>
        <v>-11793216.76</v>
      </c>
      <c r="G16" s="69">
        <f t="shared" si="4"/>
        <v>5684619.219999999</v>
      </c>
      <c r="H16" s="69">
        <f t="shared" si="4"/>
        <v>5684619.219999999</v>
      </c>
      <c r="I16" s="66"/>
      <c r="J16" s="68">
        <f>SUM(J5:J15)</f>
        <v>4075223.809999998</v>
      </c>
      <c r="K16" s="68">
        <f>SUM(K5:K15)</f>
        <v>1609395.41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0.041676</f>
        <v>0.041676</v>
      </c>
      <c r="C18" s="64">
        <f>320488.43</f>
        <v>320488.43</v>
      </c>
      <c r="D18" s="64">
        <v>0</v>
      </c>
      <c r="E18" s="64">
        <f>1134.39</f>
        <v>1134.39</v>
      </c>
      <c r="F18" s="64">
        <v>0</v>
      </c>
      <c r="G18" s="65">
        <f aca="true" t="shared" si="5" ref="G18:G23">SUM(C18:F18)</f>
        <v>321622.82</v>
      </c>
      <c r="H18" s="65">
        <f aca="true" t="shared" si="6" ref="H18:H23">G18</f>
        <v>321622.82</v>
      </c>
      <c r="I18" s="66"/>
      <c r="J18" s="65">
        <v>0</v>
      </c>
      <c r="K18" s="65">
        <f>H18</f>
        <v>321622.82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0.041676</f>
        <v>0.041676</v>
      </c>
      <c r="C19" s="64">
        <f>4279242.01</f>
        <v>4279242.01</v>
      </c>
      <c r="D19" s="64">
        <f>1000000</f>
        <v>1000000</v>
      </c>
      <c r="E19" s="64">
        <f>17232.04</f>
        <v>17232.04</v>
      </c>
      <c r="F19" s="64">
        <v>0</v>
      </c>
      <c r="G19" s="65">
        <f t="shared" si="5"/>
        <v>5296474.05</v>
      </c>
      <c r="H19" s="65">
        <f t="shared" si="6"/>
        <v>5296474.05</v>
      </c>
      <c r="I19" s="66"/>
      <c r="J19" s="65">
        <f>H19-K19</f>
        <v>5264410.05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0.041</f>
        <v>0.041</v>
      </c>
      <c r="C21" s="64">
        <f>873488.83</f>
        <v>873488.83</v>
      </c>
      <c r="D21" s="64">
        <v>0</v>
      </c>
      <c r="E21" s="64">
        <f>3039.59</f>
        <v>3039.59</v>
      </c>
      <c r="F21" s="64">
        <v>0</v>
      </c>
      <c r="G21" s="65">
        <f t="shared" si="5"/>
        <v>876528.4199999999</v>
      </c>
      <c r="H21" s="65">
        <f t="shared" si="6"/>
        <v>876528.4199999999</v>
      </c>
      <c r="I21" s="66"/>
      <c r="J21" s="65">
        <f>H21-K21</f>
        <v>876528.4199999999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4176013.03</f>
        <v>4176013.03</v>
      </c>
      <c r="D22" s="64">
        <f>406888</f>
        <v>406888</v>
      </c>
      <c r="E22" s="64">
        <f>15412.16</f>
        <v>15412.16</v>
      </c>
      <c r="F22" s="64">
        <v>0</v>
      </c>
      <c r="G22" s="65">
        <f t="shared" si="5"/>
        <v>4598313.1899999995</v>
      </c>
      <c r="H22" s="65">
        <f t="shared" si="6"/>
        <v>4598313.1899999995</v>
      </c>
      <c r="I22" s="66"/>
      <c r="J22" s="65">
        <f>H22-K22</f>
        <v>0</v>
      </c>
      <c r="K22" s="65">
        <f>+G22</f>
        <v>4598313.1899999995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0.041835</f>
        <v>0.041835</v>
      </c>
      <c r="C23" s="70">
        <f>2065417.86</f>
        <v>2065417.86</v>
      </c>
      <c r="D23" s="70">
        <v>0</v>
      </c>
      <c r="E23" s="70">
        <f>7338.66</f>
        <v>7338.66</v>
      </c>
      <c r="F23" s="70">
        <v>0</v>
      </c>
      <c r="G23" s="68">
        <f t="shared" si="5"/>
        <v>2072756.52</v>
      </c>
      <c r="H23" s="68">
        <f t="shared" si="6"/>
        <v>2072756.52</v>
      </c>
      <c r="I23" s="66"/>
      <c r="J23" s="68">
        <f>H23-K23</f>
        <v>2015375.09</v>
      </c>
      <c r="K23" s="68">
        <f>57381.43</f>
        <v>57381.43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11714650.159999998</v>
      </c>
      <c r="D24" s="70">
        <f t="shared" si="7"/>
        <v>1406888</v>
      </c>
      <c r="E24" s="70">
        <f t="shared" si="7"/>
        <v>44156.84</v>
      </c>
      <c r="F24" s="70">
        <f t="shared" si="7"/>
        <v>0</v>
      </c>
      <c r="G24" s="68">
        <f t="shared" si="7"/>
        <v>13165695</v>
      </c>
      <c r="H24" s="68">
        <f t="shared" si="7"/>
        <v>13165695</v>
      </c>
      <c r="I24" s="66"/>
      <c r="J24" s="68">
        <f>SUM(J18:J23)</f>
        <v>8156313.56</v>
      </c>
      <c r="K24" s="68">
        <f>SUM(K18:K23)</f>
        <v>5009381.4399999995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2003835.57</f>
        <v>2003835.57</v>
      </c>
      <c r="D26" s="67">
        <v>0</v>
      </c>
      <c r="E26" s="67">
        <v>6933.34</v>
      </c>
      <c r="F26" s="67">
        <v>0</v>
      </c>
      <c r="G26" s="66">
        <f aca="true" t="shared" si="8" ref="G26:G32">SUM(C26:F26)</f>
        <v>2010768.9100000001</v>
      </c>
      <c r="H26" s="66">
        <f>1975768.91</f>
        <v>1975768.91</v>
      </c>
      <c r="I26" s="66"/>
      <c r="J26" s="66">
        <v>0</v>
      </c>
      <c r="K26" s="66">
        <f aca="true" t="shared" si="9" ref="K26:K32">G26</f>
        <v>2010768.9100000001</v>
      </c>
      <c r="L26" s="2" t="s">
        <v>38</v>
      </c>
      <c r="N26" s="27"/>
    </row>
    <row r="27" spans="1:14" s="2" customFormat="1" ht="15" customHeight="1">
      <c r="A27" s="13" t="s">
        <v>45</v>
      </c>
      <c r="B27" s="14">
        <v>0.0341</v>
      </c>
      <c r="C27" s="67">
        <f>475364</f>
        <v>475364</v>
      </c>
      <c r="D27" s="67">
        <v>0</v>
      </c>
      <c r="E27" s="67">
        <v>1364</v>
      </c>
      <c r="F27" s="67">
        <v>0</v>
      </c>
      <c r="G27" s="66">
        <f t="shared" si="8"/>
        <v>476728</v>
      </c>
      <c r="H27" s="66">
        <f>471630.4</f>
        <v>471630.4</v>
      </c>
      <c r="I27" s="66"/>
      <c r="J27" s="66">
        <v>0</v>
      </c>
      <c r="K27" s="66">
        <f t="shared" si="9"/>
        <v>476728</v>
      </c>
      <c r="L27" s="2" t="s">
        <v>39</v>
      </c>
      <c r="N27" s="27"/>
    </row>
    <row r="28" spans="1:14" s="2" customFormat="1" ht="15" customHeight="1">
      <c r="A28" s="13" t="s">
        <v>44</v>
      </c>
      <c r="B28" s="14">
        <v>0.03</v>
      </c>
      <c r="C28" s="67">
        <f>993190</f>
        <v>993190</v>
      </c>
      <c r="D28" s="67">
        <v>0</v>
      </c>
      <c r="E28" s="67">
        <f>2500</f>
        <v>2500</v>
      </c>
      <c r="F28" s="67">
        <v>0</v>
      </c>
      <c r="G28" s="66">
        <f t="shared" si="8"/>
        <v>995690</v>
      </c>
      <c r="H28" s="66">
        <f>988190</f>
        <v>988190</v>
      </c>
      <c r="I28" s="66"/>
      <c r="J28" s="66">
        <v>0</v>
      </c>
      <c r="K28" s="66">
        <f t="shared" si="9"/>
        <v>995690</v>
      </c>
      <c r="L28" s="2" t="s">
        <v>41</v>
      </c>
      <c r="N28" s="27"/>
    </row>
    <row r="29" spans="1:14" s="2" customFormat="1" ht="15" customHeight="1">
      <c r="A29" s="13" t="s">
        <v>48</v>
      </c>
      <c r="B29" s="14">
        <v>0.0355</v>
      </c>
      <c r="C29" s="67">
        <f>516030.68</f>
        <v>516030.68</v>
      </c>
      <c r="D29" s="67">
        <v>0</v>
      </c>
      <c r="E29" s="67">
        <f>1538.34</f>
        <v>1538.34</v>
      </c>
      <c r="F29" s="67">
        <v>0</v>
      </c>
      <c r="G29" s="66">
        <f t="shared" si="8"/>
        <v>517569.02</v>
      </c>
      <c r="H29" s="66">
        <f>511880.22</f>
        <v>511880.22</v>
      </c>
      <c r="I29" s="66"/>
      <c r="J29" s="66">
        <v>0</v>
      </c>
      <c r="K29" s="66">
        <f t="shared" si="9"/>
        <v>517569.02</v>
      </c>
      <c r="L29" s="2" t="s">
        <v>46</v>
      </c>
      <c r="N29" s="27"/>
    </row>
    <row r="30" spans="1:14" s="2" customFormat="1" ht="15" customHeight="1">
      <c r="A30" s="13" t="s">
        <v>49</v>
      </c>
      <c r="B30" s="14">
        <v>0.0357</v>
      </c>
      <c r="C30" s="67">
        <f>991065.83</f>
        <v>991065.83</v>
      </c>
      <c r="D30" s="67">
        <v>0</v>
      </c>
      <c r="E30" s="67">
        <f>2975</f>
        <v>2975</v>
      </c>
      <c r="F30" s="67">
        <v>0</v>
      </c>
      <c r="G30" s="66">
        <f t="shared" si="8"/>
        <v>994040.83</v>
      </c>
      <c r="H30" s="66">
        <f>981850.83</f>
        <v>981850.83</v>
      </c>
      <c r="I30" s="66"/>
      <c r="J30" s="66">
        <v>0</v>
      </c>
      <c r="K30" s="66">
        <f t="shared" si="9"/>
        <v>994040.83</v>
      </c>
      <c r="L30" s="2" t="s">
        <v>47</v>
      </c>
      <c r="N30" s="27"/>
    </row>
    <row r="31" spans="1:14" s="2" customFormat="1" ht="15" customHeight="1">
      <c r="A31" s="13" t="s">
        <v>50</v>
      </c>
      <c r="B31" s="14">
        <v>0.04</v>
      </c>
      <c r="C31" s="67">
        <f>1004879.99</f>
        <v>1004879.99</v>
      </c>
      <c r="D31" s="67">
        <v>0</v>
      </c>
      <c r="E31" s="67">
        <f>2583.33</f>
        <v>2583.33</v>
      </c>
      <c r="F31" s="67">
        <v>0</v>
      </c>
      <c r="G31" s="66">
        <f t="shared" si="8"/>
        <v>1007463.32</v>
      </c>
      <c r="H31" s="66">
        <f>1007713.33</f>
        <v>1007713.33</v>
      </c>
      <c r="I31" s="66"/>
      <c r="J31" s="66">
        <v>0</v>
      </c>
      <c r="K31" s="66">
        <f t="shared" si="9"/>
        <v>1007463.32</v>
      </c>
      <c r="L31" s="2" t="s">
        <v>51</v>
      </c>
      <c r="N31" s="27"/>
    </row>
    <row r="32" spans="1:14" s="2" customFormat="1" ht="15" customHeight="1">
      <c r="A32" s="13" t="s">
        <v>52</v>
      </c>
      <c r="B32" s="14">
        <v>0.0166</v>
      </c>
      <c r="C32" s="70">
        <f>2911.22</f>
        <v>2911.22</v>
      </c>
      <c r="D32" s="70">
        <v>0</v>
      </c>
      <c r="E32" s="70">
        <v>6.16</v>
      </c>
      <c r="F32" s="70">
        <v>0</v>
      </c>
      <c r="G32" s="68">
        <f t="shared" si="8"/>
        <v>2917.3799999999997</v>
      </c>
      <c r="H32" s="68">
        <f>2917.38</f>
        <v>2917.38</v>
      </c>
      <c r="I32" s="66"/>
      <c r="J32" s="68">
        <v>0</v>
      </c>
      <c r="K32" s="68">
        <f t="shared" si="9"/>
        <v>2917.3799999999997</v>
      </c>
      <c r="L32" s="2" t="s">
        <v>53</v>
      </c>
      <c r="N32" s="27"/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5987277.29</v>
      </c>
      <c r="D33" s="71">
        <f t="shared" si="10"/>
        <v>0</v>
      </c>
      <c r="E33" s="71">
        <f t="shared" si="10"/>
        <v>17900.170000000002</v>
      </c>
      <c r="F33" s="71">
        <f t="shared" si="10"/>
        <v>0</v>
      </c>
      <c r="G33" s="72">
        <f t="shared" si="10"/>
        <v>6005177.46</v>
      </c>
      <c r="H33" s="72">
        <f t="shared" si="10"/>
        <v>5939951.07</v>
      </c>
      <c r="I33" s="73"/>
      <c r="J33" s="72">
        <f>SUM(J26:J26)</f>
        <v>0</v>
      </c>
      <c r="K33" s="72">
        <f>SUM(K26:K32)</f>
        <v>6005177.46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24757423.49</v>
      </c>
      <c r="D35" s="77">
        <f t="shared" si="11"/>
        <v>11805122.81</v>
      </c>
      <c r="E35" s="77">
        <f t="shared" si="11"/>
        <v>86162.13999999998</v>
      </c>
      <c r="F35" s="77">
        <f t="shared" si="11"/>
        <v>-11793216.76</v>
      </c>
      <c r="G35" s="78">
        <f t="shared" si="11"/>
        <v>24855491.68</v>
      </c>
      <c r="H35" s="78">
        <f t="shared" si="11"/>
        <v>24790265.29</v>
      </c>
      <c r="I35" s="73"/>
      <c r="J35" s="78">
        <f>SUM(J33,J24,J16)</f>
        <v>12231537.369999997</v>
      </c>
      <c r="K35" s="78">
        <f>SUM(K33,K24,K16)</f>
        <v>12623954.309999999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70</v>
      </c>
      <c r="D37" s="40" t="s">
        <v>67</v>
      </c>
      <c r="E37" s="40" t="s">
        <v>71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0.0422</f>
        <v>0.0422</v>
      </c>
      <c r="D38" s="18">
        <f>0.04155</f>
        <v>0.04155</v>
      </c>
      <c r="E38" s="18">
        <v>0.0256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DECEMBER 31,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144">
    <pageSetUpPr fitToPage="1"/>
  </sheetPr>
  <dimension ref="A1:O51"/>
  <sheetViews>
    <sheetView workbookViewId="0" topLeftCell="A1">
      <pane xSplit="1" ySplit="3" topLeftCell="F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70</v>
      </c>
      <c r="D3" s="29" t="s">
        <v>10</v>
      </c>
      <c r="E3" s="29" t="s">
        <v>54</v>
      </c>
      <c r="F3" s="29" t="s">
        <v>11</v>
      </c>
      <c r="G3" s="41" t="s">
        <v>72</v>
      </c>
      <c r="H3" s="41" t="s">
        <v>72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4" s="13" customFormat="1" ht="15" customHeight="1">
      <c r="A5" s="13" t="s">
        <v>22</v>
      </c>
      <c r="B5" s="14">
        <f>0.0431</f>
        <v>0.0431</v>
      </c>
      <c r="C5" s="64">
        <f>3170352.98</f>
        <v>3170352.98</v>
      </c>
      <c r="D5" s="64">
        <f>4200967.66</f>
        <v>4200967.66</v>
      </c>
      <c r="E5" s="64">
        <f>10819.99</f>
        <v>10819.99</v>
      </c>
      <c r="F5" s="64">
        <f>-4315942.35</f>
        <v>-4315942.35</v>
      </c>
      <c r="G5" s="65">
        <f aca="true" t="shared" si="0" ref="G5:G15">SUM(C5:F5)</f>
        <v>3066198.280000001</v>
      </c>
      <c r="H5" s="65">
        <f aca="true" t="shared" si="1" ref="H5:H14">G5</f>
        <v>3066198.280000001</v>
      </c>
      <c r="I5" s="66"/>
      <c r="J5" s="65">
        <f>H5-K5</f>
        <v>3066198.280000001</v>
      </c>
      <c r="K5" s="65">
        <v>0</v>
      </c>
      <c r="L5" s="16" t="s">
        <v>35</v>
      </c>
      <c r="N5" s="13" t="s">
        <v>61</v>
      </c>
    </row>
    <row r="6" spans="1:14" s="13" customFormat="1" ht="15" customHeight="1">
      <c r="A6" s="13" t="s">
        <v>24</v>
      </c>
      <c r="B6" s="14">
        <f>0.0431</f>
        <v>0.0431</v>
      </c>
      <c r="C6" s="64">
        <f>241312.1</f>
        <v>241312.1</v>
      </c>
      <c r="D6" s="64">
        <f>184808.02</f>
        <v>184808.02</v>
      </c>
      <c r="E6" s="64">
        <f>1093.18</f>
        <v>1093.18</v>
      </c>
      <c r="F6" s="64">
        <f>-15633.49</f>
        <v>-15633.49</v>
      </c>
      <c r="G6" s="65">
        <f t="shared" si="0"/>
        <v>411579.81</v>
      </c>
      <c r="H6" s="65">
        <f t="shared" si="1"/>
        <v>411579.81</v>
      </c>
      <c r="I6" s="66"/>
      <c r="J6" s="65">
        <f>H6</f>
        <v>411579.81</v>
      </c>
      <c r="K6" s="65">
        <v>0</v>
      </c>
      <c r="L6" s="25">
        <f aca="true" t="shared" si="2" ref="L6:L15">+G6-H6</f>
        <v>0</v>
      </c>
      <c r="N6" s="13" t="s">
        <v>61</v>
      </c>
    </row>
    <row r="7" spans="1:14" s="13" customFormat="1" ht="15" customHeight="1">
      <c r="A7" s="13" t="s">
        <v>23</v>
      </c>
      <c r="B7" s="14">
        <f>0.0431</f>
        <v>0.0431</v>
      </c>
      <c r="C7" s="64">
        <f>488819.55</f>
        <v>488819.55</v>
      </c>
      <c r="D7" s="64">
        <f>2187222.86</f>
        <v>2187222.86</v>
      </c>
      <c r="E7" s="64">
        <f>3367.51</f>
        <v>3367.51</v>
      </c>
      <c r="F7" s="64">
        <f>-2068208.83</f>
        <v>-2068208.83</v>
      </c>
      <c r="G7" s="65">
        <f t="shared" si="0"/>
        <v>611201.0899999994</v>
      </c>
      <c r="H7" s="65">
        <f t="shared" si="1"/>
        <v>611201.0899999994</v>
      </c>
      <c r="I7" s="66"/>
      <c r="J7" s="65">
        <f>H7</f>
        <v>611201.0899999994</v>
      </c>
      <c r="K7" s="65">
        <v>0</v>
      </c>
      <c r="L7" s="25">
        <f t="shared" si="2"/>
        <v>0</v>
      </c>
      <c r="N7" s="13" t="s">
        <v>61</v>
      </c>
    </row>
    <row r="8" spans="1:14" s="13" customFormat="1" ht="15" customHeight="1">
      <c r="A8" s="13" t="s">
        <v>25</v>
      </c>
      <c r="B8" s="14">
        <f>0.0431</f>
        <v>0.0431</v>
      </c>
      <c r="C8" s="64">
        <f>31292.66</f>
        <v>31292.66</v>
      </c>
      <c r="D8" s="64">
        <f>2118552.05</f>
        <v>2118552.05</v>
      </c>
      <c r="E8" s="64">
        <f>353.87</f>
        <v>353.87</v>
      </c>
      <c r="F8" s="64">
        <f>-2119844.71</f>
        <v>-2119844.71</v>
      </c>
      <c r="G8" s="65">
        <f t="shared" si="0"/>
        <v>30353.87000000011</v>
      </c>
      <c r="H8" s="65">
        <f t="shared" si="1"/>
        <v>30353.87000000011</v>
      </c>
      <c r="I8" s="66"/>
      <c r="J8" s="65">
        <f>H8</f>
        <v>30353.87000000011</v>
      </c>
      <c r="K8" s="65">
        <v>0</v>
      </c>
      <c r="L8" s="25">
        <f t="shared" si="2"/>
        <v>0</v>
      </c>
      <c r="N8" s="13" t="s">
        <v>61</v>
      </c>
    </row>
    <row r="9" spans="1:14" s="13" customFormat="1" ht="15" customHeight="1">
      <c r="A9" s="13" t="s">
        <v>57</v>
      </c>
      <c r="B9" s="14">
        <f>0.0431</f>
        <v>0.0431</v>
      </c>
      <c r="C9" s="64">
        <f>1609395.41</f>
        <v>1609395.41</v>
      </c>
      <c r="D9" s="64">
        <v>0</v>
      </c>
      <c r="E9" s="64">
        <f>5781.92</f>
        <v>5781.92</v>
      </c>
      <c r="F9" s="64">
        <v>0</v>
      </c>
      <c r="G9" s="65">
        <f t="shared" si="0"/>
        <v>1615177.3299999998</v>
      </c>
      <c r="H9" s="65">
        <f t="shared" si="1"/>
        <v>1615177.3299999998</v>
      </c>
      <c r="I9" s="66"/>
      <c r="J9" s="65">
        <v>0</v>
      </c>
      <c r="K9" s="65">
        <f>+H9</f>
        <v>1615177.3299999998</v>
      </c>
      <c r="L9" s="25">
        <f t="shared" si="2"/>
        <v>0</v>
      </c>
      <c r="N9" s="13" t="s">
        <v>61</v>
      </c>
    </row>
    <row r="10" spans="1:14" s="13" customFormat="1" ht="15" customHeight="1">
      <c r="A10" s="13" t="s">
        <v>42</v>
      </c>
      <c r="B10" s="14">
        <v>0</v>
      </c>
      <c r="C10" s="64">
        <f>3542.71</f>
        <v>3542.71</v>
      </c>
      <c r="D10" s="64">
        <v>0</v>
      </c>
      <c r="E10" s="64">
        <v>0</v>
      </c>
      <c r="F10" s="64">
        <f>-650.52</f>
        <v>-650.52</v>
      </c>
      <c r="G10" s="65">
        <f t="shared" si="0"/>
        <v>2892.19</v>
      </c>
      <c r="H10" s="65">
        <f t="shared" si="1"/>
        <v>2892.19</v>
      </c>
      <c r="I10" s="66"/>
      <c r="J10" s="65">
        <f aca="true" t="shared" si="3" ref="J10:J15">H10</f>
        <v>2892.19</v>
      </c>
      <c r="K10" s="65">
        <v>0</v>
      </c>
      <c r="L10" s="25">
        <f t="shared" si="2"/>
        <v>0</v>
      </c>
      <c r="N10" s="13" t="s">
        <v>61</v>
      </c>
    </row>
    <row r="11" spans="1:14" s="13" customFormat="1" ht="13.5" customHeight="1">
      <c r="A11" s="13" t="s">
        <v>17</v>
      </c>
      <c r="B11" s="14">
        <v>0</v>
      </c>
      <c r="C11" s="64">
        <f>24016</f>
        <v>24016</v>
      </c>
      <c r="D11" s="64">
        <f>1404629.48</f>
        <v>1404629.48</v>
      </c>
      <c r="E11" s="64">
        <v>0</v>
      </c>
      <c r="F11" s="64">
        <f>-1403645.48</f>
        <v>-1403645.48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N11" s="13" t="s">
        <v>61</v>
      </c>
    </row>
    <row r="12" spans="1:14" s="13" customFormat="1" ht="15" customHeight="1">
      <c r="A12" s="13" t="s">
        <v>5</v>
      </c>
      <c r="B12" s="14">
        <v>0</v>
      </c>
      <c r="C12" s="64">
        <f>49400</f>
        <v>49400</v>
      </c>
      <c r="D12" s="64">
        <f>1072120.54</f>
        <v>1072120.54</v>
      </c>
      <c r="E12" s="64">
        <v>0</v>
      </c>
      <c r="F12" s="64">
        <f>-1065759.69</f>
        <v>-1065759.69</v>
      </c>
      <c r="G12" s="65">
        <f t="shared" si="0"/>
        <v>55760.85000000009</v>
      </c>
      <c r="H12" s="65">
        <f t="shared" si="1"/>
        <v>55760.85000000009</v>
      </c>
      <c r="I12" s="66"/>
      <c r="J12" s="65">
        <f t="shared" si="3"/>
        <v>55760.85000000009</v>
      </c>
      <c r="K12" s="65">
        <v>0</v>
      </c>
      <c r="L12" s="25">
        <f t="shared" si="2"/>
        <v>0</v>
      </c>
      <c r="N12" s="13" t="s">
        <v>61</v>
      </c>
    </row>
    <row r="13" spans="1:14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N13" s="13" t="s">
        <v>61</v>
      </c>
    </row>
    <row r="14" spans="1:14" s="13" customFormat="1" ht="15" customHeight="1">
      <c r="A14" s="13" t="s">
        <v>4</v>
      </c>
      <c r="B14" s="14">
        <v>0</v>
      </c>
      <c r="C14" s="67">
        <f>45947.94</f>
        <v>45947.94</v>
      </c>
      <c r="D14" s="67">
        <f>113328.17</f>
        <v>113328.17</v>
      </c>
      <c r="E14" s="67">
        <v>0</v>
      </c>
      <c r="F14" s="67">
        <f>-155138.34</f>
        <v>-155138.34</v>
      </c>
      <c r="G14" s="66">
        <f t="shared" si="0"/>
        <v>4137.7699999999895</v>
      </c>
      <c r="H14" s="66">
        <f t="shared" si="1"/>
        <v>4137.7699999999895</v>
      </c>
      <c r="I14" s="66"/>
      <c r="J14" s="66">
        <f t="shared" si="3"/>
        <v>4137.7699999999895</v>
      </c>
      <c r="K14" s="66">
        <v>0</v>
      </c>
      <c r="L14" s="25">
        <f t="shared" si="2"/>
        <v>0</v>
      </c>
      <c r="M14" s="24"/>
      <c r="N14" s="13" t="s">
        <v>61</v>
      </c>
    </row>
    <row r="15" spans="1:15" s="13" customFormat="1" ht="15" customHeight="1">
      <c r="A15" s="13" t="s">
        <v>55</v>
      </c>
      <c r="B15" s="14">
        <v>0</v>
      </c>
      <c r="C15" s="67">
        <f>16438.36</f>
        <v>16438.36</v>
      </c>
      <c r="D15" s="67">
        <f>792+1823+8394+6403+3030</f>
        <v>20442</v>
      </c>
      <c r="E15" s="67">
        <v>0</v>
      </c>
      <c r="F15" s="67">
        <f>-25000-9.3</f>
        <v>-25009.3</v>
      </c>
      <c r="G15" s="66">
        <f t="shared" si="0"/>
        <v>11871.060000000001</v>
      </c>
      <c r="H15" s="68">
        <f>+G15</f>
        <v>11871.060000000001</v>
      </c>
      <c r="I15" s="66"/>
      <c r="J15" s="68">
        <f t="shared" si="3"/>
        <v>11871.060000000001</v>
      </c>
      <c r="K15" s="68">
        <v>0</v>
      </c>
      <c r="L15" s="25">
        <f t="shared" si="2"/>
        <v>0</v>
      </c>
      <c r="N15" s="13" t="s">
        <v>61</v>
      </c>
      <c r="O15" s="42">
        <f>+G15-27145.1</f>
        <v>-15274.039999999997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5684619.220000001</v>
      </c>
      <c r="D16" s="69">
        <f t="shared" si="4"/>
        <v>11302070.78</v>
      </c>
      <c r="E16" s="69">
        <f t="shared" si="4"/>
        <v>21416.47</v>
      </c>
      <c r="F16" s="69">
        <f t="shared" si="4"/>
        <v>-11169832.709999999</v>
      </c>
      <c r="G16" s="69">
        <f t="shared" si="4"/>
        <v>5838273.760000001</v>
      </c>
      <c r="H16" s="69">
        <f t="shared" si="4"/>
        <v>5838273.760000001</v>
      </c>
      <c r="I16" s="66"/>
      <c r="J16" s="68">
        <f>SUM(J5:J15)</f>
        <v>4223096.43</v>
      </c>
      <c r="K16" s="68">
        <f>SUM(K5:K15)</f>
        <v>1615177.3299999998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0.042714</f>
        <v>0.042714</v>
      </c>
      <c r="C18" s="64">
        <f>321622.82</f>
        <v>321622.82</v>
      </c>
      <c r="D18" s="64">
        <v>0</v>
      </c>
      <c r="E18" s="64">
        <f>1166.76</f>
        <v>1166.76</v>
      </c>
      <c r="F18" s="64">
        <v>0</v>
      </c>
      <c r="G18" s="65">
        <f aca="true" t="shared" si="5" ref="G18:G23">SUM(C18:F18)</f>
        <v>322789.58</v>
      </c>
      <c r="H18" s="65">
        <f aca="true" t="shared" si="6" ref="H18:H23">G18</f>
        <v>322789.58</v>
      </c>
      <c r="I18" s="66"/>
      <c r="J18" s="65">
        <v>0</v>
      </c>
      <c r="K18" s="65">
        <f>H18</f>
        <v>322789.58</v>
      </c>
      <c r="L18" s="2" t="s">
        <v>36</v>
      </c>
      <c r="N18" s="2" t="s">
        <v>61</v>
      </c>
    </row>
    <row r="19" spans="1:14" ht="15" customHeight="1">
      <c r="A19" s="13" t="s">
        <v>33</v>
      </c>
      <c r="B19" s="22">
        <f>0.042714</f>
        <v>0.042714</v>
      </c>
      <c r="C19" s="64">
        <f>5296474.05</f>
        <v>5296474.05</v>
      </c>
      <c r="D19" s="64">
        <v>0</v>
      </c>
      <c r="E19" s="64">
        <f>18886.3</f>
        <v>18886.3</v>
      </c>
      <c r="F19" s="64">
        <f>-100000</f>
        <v>-100000</v>
      </c>
      <c r="G19" s="65">
        <f t="shared" si="5"/>
        <v>5215360.35</v>
      </c>
      <c r="H19" s="65">
        <f t="shared" si="6"/>
        <v>5215360.35</v>
      </c>
      <c r="I19" s="66"/>
      <c r="J19" s="65">
        <f>H19-K19</f>
        <v>5183296.35</v>
      </c>
      <c r="K19" s="65">
        <v>32064</v>
      </c>
      <c r="L19" s="2" t="s">
        <v>65</v>
      </c>
      <c r="N19" s="2" t="s">
        <v>61</v>
      </c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4" s="2" customFormat="1" ht="15" customHeight="1">
      <c r="A21" s="13" t="s">
        <v>20</v>
      </c>
      <c r="B21" s="22">
        <f>0.0422</f>
        <v>0.0422</v>
      </c>
      <c r="C21" s="64">
        <f>876528.42</f>
        <v>876528.42</v>
      </c>
      <c r="D21" s="64">
        <v>0</v>
      </c>
      <c r="E21" s="64">
        <f>3143.04</f>
        <v>3143.04</v>
      </c>
      <c r="F21" s="64">
        <v>0</v>
      </c>
      <c r="G21" s="65">
        <f t="shared" si="5"/>
        <v>879671.4600000001</v>
      </c>
      <c r="H21" s="65">
        <f t="shared" si="6"/>
        <v>879671.4600000001</v>
      </c>
      <c r="I21" s="66"/>
      <c r="J21" s="65">
        <f>H21-K21</f>
        <v>879671.4600000001</v>
      </c>
      <c r="K21" s="65">
        <v>0</v>
      </c>
      <c r="N21" s="2" t="s">
        <v>61</v>
      </c>
    </row>
    <row r="22" spans="1:14" s="2" customFormat="1" ht="15" customHeight="1">
      <c r="A22" s="13" t="s">
        <v>21</v>
      </c>
      <c r="B22" s="22">
        <f>0.041</f>
        <v>0.041</v>
      </c>
      <c r="C22" s="64">
        <f>4598313.19</f>
        <v>4598313.19</v>
      </c>
      <c r="D22" s="64">
        <v>0</v>
      </c>
      <c r="E22" s="64">
        <f>16488.68</f>
        <v>16488.68</v>
      </c>
      <c r="F22" s="64">
        <v>0</v>
      </c>
      <c r="G22" s="65">
        <f t="shared" si="5"/>
        <v>4614801.87</v>
      </c>
      <c r="H22" s="65">
        <f t="shared" si="6"/>
        <v>4614801.87</v>
      </c>
      <c r="I22" s="66"/>
      <c r="J22" s="65">
        <f>H22-K22</f>
        <v>0</v>
      </c>
      <c r="K22" s="65">
        <f>+G22</f>
        <v>4614801.87</v>
      </c>
      <c r="L22" s="2" t="s">
        <v>69</v>
      </c>
      <c r="N22" s="2" t="s">
        <v>61</v>
      </c>
    </row>
    <row r="23" spans="1:14" s="2" customFormat="1" ht="15" customHeight="1">
      <c r="A23" s="13" t="s">
        <v>56</v>
      </c>
      <c r="B23" s="22">
        <f>0.043121</f>
        <v>0.043121</v>
      </c>
      <c r="C23" s="70">
        <f>2072756.52</f>
        <v>2072756.52</v>
      </c>
      <c r="D23" s="70">
        <v>0</v>
      </c>
      <c r="E23" s="70">
        <f>7591.17</f>
        <v>7591.17</v>
      </c>
      <c r="F23" s="70">
        <v>0</v>
      </c>
      <c r="G23" s="68">
        <f t="shared" si="5"/>
        <v>2080347.69</v>
      </c>
      <c r="H23" s="68">
        <f t="shared" si="6"/>
        <v>2080347.69</v>
      </c>
      <c r="I23" s="66"/>
      <c r="J23" s="68">
        <f>H23-K23</f>
        <v>2022551.4821576849</v>
      </c>
      <c r="K23" s="68">
        <v>57796.20784231517</v>
      </c>
      <c r="L23" s="2" t="s">
        <v>37</v>
      </c>
      <c r="N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13165695</v>
      </c>
      <c r="D24" s="70">
        <f t="shared" si="7"/>
        <v>0</v>
      </c>
      <c r="E24" s="70">
        <f t="shared" si="7"/>
        <v>47275.95</v>
      </c>
      <c r="F24" s="70">
        <f t="shared" si="7"/>
        <v>-100000</v>
      </c>
      <c r="G24" s="68">
        <f t="shared" si="7"/>
        <v>13112970.95</v>
      </c>
      <c r="H24" s="68">
        <f t="shared" si="7"/>
        <v>13112970.95</v>
      </c>
      <c r="I24" s="66"/>
      <c r="J24" s="68">
        <f>SUM(J18:J23)</f>
        <v>8085519.292157684</v>
      </c>
      <c r="K24" s="68">
        <f>SUM(K18:K23)</f>
        <v>5027451.657842316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4" s="2" customFormat="1" ht="15" customHeight="1">
      <c r="A26" s="13" t="s">
        <v>43</v>
      </c>
      <c r="B26" s="14">
        <v>0.0416</v>
      </c>
      <c r="C26" s="67">
        <f>2022648.91</f>
        <v>2022648.91</v>
      </c>
      <c r="D26" s="67">
        <v>0</v>
      </c>
      <c r="E26" s="67">
        <f>6933.32</f>
        <v>6933.32</v>
      </c>
      <c r="F26" s="67">
        <v>0</v>
      </c>
      <c r="G26" s="66">
        <f aca="true" t="shared" si="8" ref="G26:G32">SUM(C26:F26)</f>
        <v>2029582.23</v>
      </c>
      <c r="H26" s="66">
        <f>1979582.22</f>
        <v>1979582.22</v>
      </c>
      <c r="I26" s="66"/>
      <c r="J26" s="66">
        <v>0</v>
      </c>
      <c r="K26" s="66">
        <f aca="true" t="shared" si="9" ref="K26:K32">G26</f>
        <v>2029582.23</v>
      </c>
      <c r="L26" s="2" t="s">
        <v>38</v>
      </c>
      <c r="N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f>482728</f>
        <v>482728</v>
      </c>
      <c r="D27" s="67">
        <v>0</v>
      </c>
      <c r="E27" s="67">
        <f>1364</f>
        <v>1364</v>
      </c>
      <c r="F27" s="67">
        <v>0</v>
      </c>
      <c r="G27" s="66">
        <f t="shared" si="8"/>
        <v>484092</v>
      </c>
      <c r="H27" s="66">
        <f>472994.4</f>
        <v>472994.4</v>
      </c>
      <c r="I27" s="66"/>
      <c r="J27" s="66">
        <v>0</v>
      </c>
      <c r="K27" s="66">
        <f t="shared" si="9"/>
        <v>484092</v>
      </c>
      <c r="L27" s="2" t="s">
        <v>39</v>
      </c>
      <c r="N27" s="2" t="s">
        <v>61</v>
      </c>
    </row>
    <row r="28" spans="1:14" s="2" customFormat="1" ht="15" customHeight="1">
      <c r="A28" s="13" t="s">
        <v>44</v>
      </c>
      <c r="B28" s="14">
        <v>0.03</v>
      </c>
      <c r="C28" s="67">
        <f>1006000</f>
        <v>1006000</v>
      </c>
      <c r="D28" s="67">
        <v>0</v>
      </c>
      <c r="E28" s="67">
        <f>2500</f>
        <v>2500</v>
      </c>
      <c r="F28" s="67">
        <v>0</v>
      </c>
      <c r="G28" s="66">
        <f t="shared" si="8"/>
        <v>1008500</v>
      </c>
      <c r="H28" s="66">
        <f>991000</f>
        <v>991000</v>
      </c>
      <c r="I28" s="66"/>
      <c r="J28" s="66">
        <v>0</v>
      </c>
      <c r="K28" s="66">
        <f t="shared" si="9"/>
        <v>1008500</v>
      </c>
      <c r="L28" s="2" t="s">
        <v>41</v>
      </c>
      <c r="N28" s="2" t="s">
        <v>61</v>
      </c>
    </row>
    <row r="29" spans="1:14" s="2" customFormat="1" ht="15" customHeight="1">
      <c r="A29" s="13" t="s">
        <v>48</v>
      </c>
      <c r="B29" s="14">
        <v>0.0355</v>
      </c>
      <c r="C29" s="67">
        <f>522769.02</f>
        <v>522769.02</v>
      </c>
      <c r="D29" s="67">
        <v>0</v>
      </c>
      <c r="E29" s="67">
        <f>1538.32</f>
        <v>1538.32</v>
      </c>
      <c r="F29" s="67">
        <v>0</v>
      </c>
      <c r="G29" s="66">
        <f t="shared" si="8"/>
        <v>524307.34</v>
      </c>
      <c r="H29" s="66">
        <f>513418.53</f>
        <v>513418.53</v>
      </c>
      <c r="I29" s="66"/>
      <c r="J29" s="66">
        <v>0</v>
      </c>
      <c r="K29" s="66">
        <f t="shared" si="9"/>
        <v>524307.34</v>
      </c>
      <c r="L29" s="2" t="s">
        <v>46</v>
      </c>
      <c r="N29" s="2" t="s">
        <v>61</v>
      </c>
    </row>
    <row r="30" spans="1:14" s="2" customFormat="1" ht="15" customHeight="1">
      <c r="A30" s="13" t="s">
        <v>49</v>
      </c>
      <c r="B30" s="14">
        <v>0.0357</v>
      </c>
      <c r="C30" s="67">
        <f>1004660.83</f>
        <v>1004660.83</v>
      </c>
      <c r="D30" s="67">
        <v>0</v>
      </c>
      <c r="E30" s="67">
        <f>2975</f>
        <v>2975</v>
      </c>
      <c r="F30" s="67">
        <v>0</v>
      </c>
      <c r="G30" s="66">
        <f t="shared" si="8"/>
        <v>1007635.83</v>
      </c>
      <c r="H30" s="66">
        <f>984515.83</f>
        <v>984515.83</v>
      </c>
      <c r="I30" s="66"/>
      <c r="J30" s="66">
        <v>0</v>
      </c>
      <c r="K30" s="66">
        <f t="shared" si="9"/>
        <v>1007635.83</v>
      </c>
      <c r="L30" s="2" t="s">
        <v>47</v>
      </c>
      <c r="N30" s="2" t="s">
        <v>61</v>
      </c>
    </row>
    <row r="31" spans="1:14" s="2" customFormat="1" ht="15" customHeight="1">
      <c r="A31" s="13" t="s">
        <v>50</v>
      </c>
      <c r="B31" s="14">
        <v>0.04</v>
      </c>
      <c r="C31" s="67">
        <f>1008083.32</f>
        <v>1008083.32</v>
      </c>
      <c r="D31" s="67">
        <v>0</v>
      </c>
      <c r="E31" s="67">
        <f>5583.34</f>
        <v>5583.34</v>
      </c>
      <c r="F31" s="67">
        <v>0</v>
      </c>
      <c r="G31" s="66">
        <f t="shared" si="8"/>
        <v>1013666.6599999999</v>
      </c>
      <c r="H31" s="66">
        <f>1012106.67</f>
        <v>1012106.67</v>
      </c>
      <c r="I31" s="66"/>
      <c r="J31" s="66">
        <v>0</v>
      </c>
      <c r="K31" s="66">
        <f t="shared" si="9"/>
        <v>1013666.6599999999</v>
      </c>
      <c r="L31" s="2" t="s">
        <v>51</v>
      </c>
      <c r="N31" s="2" t="s">
        <v>61</v>
      </c>
    </row>
    <row r="32" spans="1:14" s="2" customFormat="1" ht="15" customHeight="1">
      <c r="A32" s="13" t="s">
        <v>52</v>
      </c>
      <c r="B32" s="14">
        <v>0.0166</v>
      </c>
      <c r="C32" s="70">
        <f>2917.38</f>
        <v>2917.38</v>
      </c>
      <c r="D32" s="70">
        <v>0</v>
      </c>
      <c r="E32" s="70">
        <f>5.4</f>
        <v>5.4</v>
      </c>
      <c r="F32" s="70">
        <v>0</v>
      </c>
      <c r="G32" s="68">
        <f t="shared" si="8"/>
        <v>2922.78</v>
      </c>
      <c r="H32" s="68">
        <f>2922.78</f>
        <v>2922.78</v>
      </c>
      <c r="I32" s="66"/>
      <c r="J32" s="68">
        <v>0</v>
      </c>
      <c r="K32" s="68">
        <f t="shared" si="9"/>
        <v>2922.78</v>
      </c>
      <c r="L32" s="2" t="s">
        <v>53</v>
      </c>
      <c r="N32" s="2" t="s">
        <v>61</v>
      </c>
    </row>
    <row r="33" spans="1:15" ht="15" customHeight="1">
      <c r="A33" s="2" t="s">
        <v>3</v>
      </c>
      <c r="B33" s="10" t="s">
        <v>1</v>
      </c>
      <c r="C33" s="71">
        <f aca="true" t="shared" si="10" ref="C33:H33">SUM(C26:C32)</f>
        <v>6049807.46</v>
      </c>
      <c r="D33" s="71">
        <f t="shared" si="10"/>
        <v>0</v>
      </c>
      <c r="E33" s="71">
        <f t="shared" si="10"/>
        <v>20899.38</v>
      </c>
      <c r="F33" s="71">
        <f t="shared" si="10"/>
        <v>0</v>
      </c>
      <c r="G33" s="72">
        <f t="shared" si="10"/>
        <v>6070706.84</v>
      </c>
      <c r="H33" s="72">
        <f t="shared" si="10"/>
        <v>5956540.430000001</v>
      </c>
      <c r="I33" s="73"/>
      <c r="J33" s="72">
        <f>SUM(J26:J26)</f>
        <v>0</v>
      </c>
      <c r="K33" s="72">
        <f>SUM(K26:K32)</f>
        <v>6070706.84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1" ref="C35:H35">SUM(C33,C24,C16)</f>
        <v>24900121.68</v>
      </c>
      <c r="D35" s="77">
        <f t="shared" si="11"/>
        <v>11302070.78</v>
      </c>
      <c r="E35" s="77">
        <f t="shared" si="11"/>
        <v>89591.8</v>
      </c>
      <c r="F35" s="77">
        <f t="shared" si="11"/>
        <v>-11269832.709999999</v>
      </c>
      <c r="G35" s="78">
        <f t="shared" si="11"/>
        <v>25021951.55</v>
      </c>
      <c r="H35" s="78">
        <f t="shared" si="11"/>
        <v>24907785.14</v>
      </c>
      <c r="I35" s="73"/>
      <c r="J35" s="78">
        <f>SUM(J33,J24,J16)</f>
        <v>12308615.722157683</v>
      </c>
      <c r="K35" s="78">
        <f>SUM(K33,K24,K16)</f>
        <v>12713335.827842316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72</v>
      </c>
      <c r="D37" s="40" t="s">
        <v>70</v>
      </c>
      <c r="E37" s="40" t="s">
        <v>73</v>
      </c>
      <c r="F37" s="31"/>
      <c r="G37" s="31"/>
      <c r="H37" s="31"/>
      <c r="I37" s="37"/>
      <c r="J37" s="31"/>
      <c r="K37" s="31"/>
    </row>
    <row r="38" spans="1:11" ht="15" customHeight="1">
      <c r="A38" s="2" t="s">
        <v>30</v>
      </c>
      <c r="B38" s="2"/>
      <c r="C38" s="18">
        <f>0.04435</f>
        <v>0.04435</v>
      </c>
      <c r="D38" s="18">
        <f>0.0422</f>
        <v>0.0422</v>
      </c>
      <c r="E38" s="18">
        <f>0.0271</f>
        <v>0.0271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/>
      <c r="I39" s="38"/>
      <c r="J39" s="32"/>
      <c r="K39" s="32"/>
    </row>
    <row r="40" spans="1:11" ht="12.75">
      <c r="A40" s="2" t="s">
        <v>27</v>
      </c>
      <c r="K40" s="39"/>
    </row>
    <row r="41" ht="12.75">
      <c r="K41" s="39"/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JANUARY 31, 2006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146">
    <pageSetUpPr fitToPage="1"/>
  </sheetPr>
  <dimension ref="A1:O51"/>
  <sheetViews>
    <sheetView workbookViewId="0" topLeftCell="A1">
      <pane xSplit="1" ySplit="3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72</v>
      </c>
      <c r="D3" s="29" t="s">
        <v>10</v>
      </c>
      <c r="E3" s="29" t="s">
        <v>54</v>
      </c>
      <c r="F3" s="29" t="s">
        <v>11</v>
      </c>
      <c r="G3" s="41" t="s">
        <v>74</v>
      </c>
      <c r="H3" s="41" t="s">
        <v>74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2" s="13" customFormat="1" ht="15" customHeight="1">
      <c r="A5" s="13" t="s">
        <v>22</v>
      </c>
      <c r="B5" s="14">
        <v>0.0445</v>
      </c>
      <c r="C5" s="64">
        <v>3066198.28</v>
      </c>
      <c r="D5" s="64">
        <f>14338488.82</f>
        <v>14338488.82</v>
      </c>
      <c r="E5" s="64">
        <f>6994.81</f>
        <v>6994.81</v>
      </c>
      <c r="F5" s="64">
        <f>-15808368.23</f>
        <v>-15808368.23</v>
      </c>
      <c r="G5" s="65">
        <f aca="true" t="shared" si="0" ref="G5:G15">SUM(C5:F5)</f>
        <v>1603313.6799999997</v>
      </c>
      <c r="H5" s="65">
        <f aca="true" t="shared" si="1" ref="H5:H14">G5</f>
        <v>1603313.6799999997</v>
      </c>
      <c r="I5" s="66"/>
      <c r="J5" s="65">
        <f>H5-K5</f>
        <v>1603313.6799999997</v>
      </c>
      <c r="K5" s="65">
        <v>0</v>
      </c>
      <c r="L5" s="16" t="s">
        <v>35</v>
      </c>
    </row>
    <row r="6" spans="1:12" s="13" customFormat="1" ht="15" customHeight="1">
      <c r="A6" s="13" t="s">
        <v>24</v>
      </c>
      <c r="B6" s="14">
        <v>0.0445</v>
      </c>
      <c r="C6" s="64">
        <v>411579.81</v>
      </c>
      <c r="D6" s="64">
        <f>6221146.87</f>
        <v>6221146.87</v>
      </c>
      <c r="E6" s="64">
        <f>1299.61</f>
        <v>1299.61</v>
      </c>
      <c r="F6" s="64">
        <f>-6566916.79</f>
        <v>-6566916.79</v>
      </c>
      <c r="G6" s="65">
        <f t="shared" si="0"/>
        <v>67109.5</v>
      </c>
      <c r="H6" s="65">
        <f t="shared" si="1"/>
        <v>67109.5</v>
      </c>
      <c r="I6" s="66"/>
      <c r="J6" s="65">
        <f>H6</f>
        <v>67109.5</v>
      </c>
      <c r="K6" s="65">
        <v>0</v>
      </c>
      <c r="L6" s="25">
        <f aca="true" t="shared" si="2" ref="L6:L15">+G6-H6</f>
        <v>0</v>
      </c>
    </row>
    <row r="7" spans="1:12" s="13" customFormat="1" ht="15" customHeight="1">
      <c r="A7" s="13" t="s">
        <v>23</v>
      </c>
      <c r="B7" s="14">
        <v>0.0445</v>
      </c>
      <c r="C7" s="64">
        <v>611201.09</v>
      </c>
      <c r="D7" s="64">
        <f>8178620.38</f>
        <v>8178620.38</v>
      </c>
      <c r="E7" s="64">
        <f>7138.62</f>
        <v>7138.62</v>
      </c>
      <c r="F7" s="64">
        <f>-7624551.01</f>
        <v>-7624551.01</v>
      </c>
      <c r="G7" s="65">
        <f t="shared" si="0"/>
        <v>1172409.08</v>
      </c>
      <c r="H7" s="65">
        <f t="shared" si="1"/>
        <v>1172409.08</v>
      </c>
      <c r="I7" s="66"/>
      <c r="J7" s="65">
        <f>H7</f>
        <v>1172409.08</v>
      </c>
      <c r="K7" s="65">
        <v>0</v>
      </c>
      <c r="L7" s="25">
        <f t="shared" si="2"/>
        <v>0</v>
      </c>
    </row>
    <row r="8" spans="1:12" s="13" customFormat="1" ht="15" customHeight="1">
      <c r="A8" s="13" t="s">
        <v>25</v>
      </c>
      <c r="B8" s="14">
        <v>0.0445</v>
      </c>
      <c r="C8" s="64">
        <v>30353.87</v>
      </c>
      <c r="D8" s="64">
        <f>2628480.51</f>
        <v>2628480.51</v>
      </c>
      <c r="E8" s="64">
        <f>126.64</f>
        <v>126.64</v>
      </c>
      <c r="F8" s="64">
        <f>-2626193.19</f>
        <v>-2626193.19</v>
      </c>
      <c r="G8" s="65">
        <f t="shared" si="0"/>
        <v>32767.830000000075</v>
      </c>
      <c r="H8" s="65">
        <f t="shared" si="1"/>
        <v>32767.830000000075</v>
      </c>
      <c r="I8" s="66"/>
      <c r="J8" s="65">
        <f>H8</f>
        <v>32767.830000000075</v>
      </c>
      <c r="K8" s="65">
        <v>0</v>
      </c>
      <c r="L8" s="25">
        <f t="shared" si="2"/>
        <v>0</v>
      </c>
    </row>
    <row r="9" spans="1:12" s="13" customFormat="1" ht="15" customHeight="1">
      <c r="A9" s="13" t="s">
        <v>57</v>
      </c>
      <c r="B9" s="14">
        <v>0.0445</v>
      </c>
      <c r="C9" s="64">
        <v>1615177.33</v>
      </c>
      <c r="D9" s="64">
        <v>0</v>
      </c>
      <c r="E9" s="64">
        <f>5402.22</f>
        <v>5402.22</v>
      </c>
      <c r="F9" s="64">
        <v>0</v>
      </c>
      <c r="G9" s="65">
        <f t="shared" si="0"/>
        <v>1620579.55</v>
      </c>
      <c r="H9" s="65">
        <f t="shared" si="1"/>
        <v>1620579.55</v>
      </c>
      <c r="I9" s="66"/>
      <c r="J9" s="65">
        <v>0</v>
      </c>
      <c r="K9" s="65">
        <f>+H9</f>
        <v>1620579.55</v>
      </c>
      <c r="L9" s="25">
        <f t="shared" si="2"/>
        <v>0</v>
      </c>
    </row>
    <row r="10" spans="1:12" s="13" customFormat="1" ht="15" customHeight="1">
      <c r="A10" s="13" t="s">
        <v>42</v>
      </c>
      <c r="B10" s="14">
        <v>0</v>
      </c>
      <c r="C10" s="64">
        <v>2892.19</v>
      </c>
      <c r="D10" s="64">
        <f>2500</f>
        <v>2500</v>
      </c>
      <c r="E10" s="64">
        <v>0</v>
      </c>
      <c r="F10" s="64">
        <f>-2394.64</f>
        <v>-2394.64</v>
      </c>
      <c r="G10" s="65">
        <f t="shared" si="0"/>
        <v>2997.5500000000006</v>
      </c>
      <c r="H10" s="65">
        <f t="shared" si="1"/>
        <v>2997.5500000000006</v>
      </c>
      <c r="I10" s="66"/>
      <c r="J10" s="65">
        <f aca="true" t="shared" si="3" ref="J10:J15">H10</f>
        <v>2997.5500000000006</v>
      </c>
      <c r="K10" s="65">
        <v>0</v>
      </c>
      <c r="L10" s="25">
        <f t="shared" si="2"/>
        <v>0</v>
      </c>
    </row>
    <row r="11" spans="1:12" s="13" customFormat="1" ht="13.5" customHeight="1">
      <c r="A11" s="13" t="s">
        <v>17</v>
      </c>
      <c r="B11" s="14">
        <v>0</v>
      </c>
      <c r="C11" s="64">
        <v>25000</v>
      </c>
      <c r="D11" s="64">
        <f>32534.7</f>
        <v>32534.7</v>
      </c>
      <c r="E11" s="64">
        <v>0</v>
      </c>
      <c r="F11" s="64">
        <f>-32881</f>
        <v>-32881</v>
      </c>
      <c r="G11" s="65">
        <f t="shared" si="0"/>
        <v>24653.699999999997</v>
      </c>
      <c r="H11" s="65">
        <f t="shared" si="1"/>
        <v>24653.699999999997</v>
      </c>
      <c r="I11" s="66"/>
      <c r="J11" s="65">
        <f t="shared" si="3"/>
        <v>24653.699999999997</v>
      </c>
      <c r="K11" s="65">
        <v>0</v>
      </c>
      <c r="L11" s="25">
        <f t="shared" si="2"/>
        <v>0</v>
      </c>
    </row>
    <row r="12" spans="1:12" s="13" customFormat="1" ht="15" customHeight="1">
      <c r="A12" s="13" t="s">
        <v>5</v>
      </c>
      <c r="B12" s="14">
        <v>0</v>
      </c>
      <c r="C12" s="64">
        <v>55760.85</v>
      </c>
      <c r="D12" s="64">
        <f>272741.23</f>
        <v>272741.23</v>
      </c>
      <c r="E12" s="64">
        <v>0</v>
      </c>
      <c r="F12" s="64">
        <f>-265679.86</f>
        <v>-265679.86</v>
      </c>
      <c r="G12" s="65">
        <f t="shared" si="0"/>
        <v>62822.21999999997</v>
      </c>
      <c r="H12" s="65">
        <f t="shared" si="1"/>
        <v>62822.21999999997</v>
      </c>
      <c r="I12" s="66"/>
      <c r="J12" s="65">
        <f t="shared" si="3"/>
        <v>62822.21999999997</v>
      </c>
      <c r="K12" s="65">
        <v>0</v>
      </c>
      <c r="L12" s="25">
        <f t="shared" si="2"/>
        <v>0</v>
      </c>
    </row>
    <row r="13" spans="1:12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</row>
    <row r="14" spans="1:13" s="13" customFormat="1" ht="15" customHeight="1">
      <c r="A14" s="13" t="s">
        <v>4</v>
      </c>
      <c r="B14" s="14">
        <v>0</v>
      </c>
      <c r="C14" s="67">
        <v>4137.77</v>
      </c>
      <c r="D14" s="67">
        <f>11432.14</f>
        <v>11432.14</v>
      </c>
      <c r="E14" s="67">
        <v>0</v>
      </c>
      <c r="F14" s="67">
        <f>-885.31</f>
        <v>-885.31</v>
      </c>
      <c r="G14" s="66">
        <f t="shared" si="0"/>
        <v>14684.6</v>
      </c>
      <c r="H14" s="66">
        <f t="shared" si="1"/>
        <v>14684.6</v>
      </c>
      <c r="I14" s="66"/>
      <c r="J14" s="66">
        <f t="shared" si="3"/>
        <v>14684.6</v>
      </c>
      <c r="K14" s="66">
        <v>0</v>
      </c>
      <c r="L14" s="25">
        <f t="shared" si="2"/>
        <v>0</v>
      </c>
      <c r="M14" s="24"/>
    </row>
    <row r="15" spans="1:15" s="13" customFormat="1" ht="15" customHeight="1">
      <c r="A15" s="13" t="s">
        <v>55</v>
      </c>
      <c r="B15" s="14">
        <v>0</v>
      </c>
      <c r="C15" s="67">
        <v>11871.06</v>
      </c>
      <c r="D15" s="67">
        <f>245.75+15+511+550.06</f>
        <v>1321.81</v>
      </c>
      <c r="E15" s="67">
        <v>0</v>
      </c>
      <c r="F15" s="67">
        <v>0</v>
      </c>
      <c r="G15" s="66">
        <f t="shared" si="0"/>
        <v>13192.869999999999</v>
      </c>
      <c r="H15" s="68">
        <f>+G15</f>
        <v>13192.869999999999</v>
      </c>
      <c r="I15" s="66"/>
      <c r="J15" s="68">
        <f t="shared" si="3"/>
        <v>13192.869999999999</v>
      </c>
      <c r="K15" s="68">
        <v>0</v>
      </c>
      <c r="L15" s="25">
        <f t="shared" si="2"/>
        <v>0</v>
      </c>
      <c r="O15" s="42">
        <f>+G15-27145.1</f>
        <v>-13952.23</v>
      </c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5838273.759999999</v>
      </c>
      <c r="D16" s="69">
        <f t="shared" si="4"/>
        <v>31687266.459999997</v>
      </c>
      <c r="E16" s="69">
        <f t="shared" si="4"/>
        <v>20961.9</v>
      </c>
      <c r="F16" s="69">
        <f t="shared" si="4"/>
        <v>-32927870.03</v>
      </c>
      <c r="G16" s="69">
        <f t="shared" si="4"/>
        <v>4618632.089999999</v>
      </c>
      <c r="H16" s="69">
        <f t="shared" si="4"/>
        <v>4618632.089999999</v>
      </c>
      <c r="I16" s="66"/>
      <c r="J16" s="68">
        <f>SUM(J5:J15)</f>
        <v>2998052.5399999996</v>
      </c>
      <c r="K16" s="68">
        <f>SUM(K5:K15)</f>
        <v>1620579.55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f>0.044833</f>
        <v>0.044833</v>
      </c>
      <c r="C18" s="64">
        <v>322789.58</v>
      </c>
      <c r="D18" s="64">
        <v>0</v>
      </c>
      <c r="E18" s="64">
        <f>1110.15</f>
        <v>1110.15</v>
      </c>
      <c r="F18" s="64">
        <v>0</v>
      </c>
      <c r="G18" s="65">
        <f aca="true" t="shared" si="5" ref="G18:G23">SUM(C18:F18)</f>
        <v>323899.73000000004</v>
      </c>
      <c r="H18" s="65">
        <f aca="true" t="shared" si="6" ref="H18:H23">G18</f>
        <v>323899.73000000004</v>
      </c>
      <c r="I18" s="66"/>
      <c r="J18" s="65">
        <v>0</v>
      </c>
      <c r="K18" s="65">
        <f>H18</f>
        <v>323899.73000000004</v>
      </c>
      <c r="L18" s="2" t="s">
        <v>36</v>
      </c>
      <c r="N18" s="2"/>
    </row>
    <row r="19" spans="1:14" ht="15" customHeight="1">
      <c r="A19" s="13" t="s">
        <v>33</v>
      </c>
      <c r="B19" s="22">
        <f>0.044833</f>
        <v>0.044833</v>
      </c>
      <c r="C19" s="64">
        <v>5215360.35</v>
      </c>
      <c r="D19" s="64">
        <f>5000000</f>
        <v>5000000</v>
      </c>
      <c r="E19" s="64">
        <f>29489.91</f>
        <v>29489.91</v>
      </c>
      <c r="F19" s="64">
        <f>-3400000</f>
        <v>-3400000</v>
      </c>
      <c r="G19" s="65">
        <f t="shared" si="5"/>
        <v>6844850.26</v>
      </c>
      <c r="H19" s="65">
        <f t="shared" si="6"/>
        <v>6844850.26</v>
      </c>
      <c r="I19" s="66"/>
      <c r="J19" s="65">
        <f>H19-K19</f>
        <v>6812786.26</v>
      </c>
      <c r="K19" s="65">
        <v>32064</v>
      </c>
      <c r="L19" s="2" t="s">
        <v>65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1" s="2" customFormat="1" ht="15" customHeight="1">
      <c r="A21" s="13" t="s">
        <v>20</v>
      </c>
      <c r="B21" s="22">
        <v>0.044</v>
      </c>
      <c r="C21" s="64">
        <v>879671.46</v>
      </c>
      <c r="D21" s="64">
        <v>0</v>
      </c>
      <c r="E21" s="64">
        <v>2966.2</v>
      </c>
      <c r="F21" s="64">
        <v>0</v>
      </c>
      <c r="G21" s="65">
        <f t="shared" si="5"/>
        <v>882637.6599999999</v>
      </c>
      <c r="H21" s="65">
        <f t="shared" si="6"/>
        <v>882637.6599999999</v>
      </c>
      <c r="I21" s="66"/>
      <c r="J21" s="65">
        <f>H21-K21</f>
        <v>882637.6599999999</v>
      </c>
      <c r="K21" s="65">
        <v>0</v>
      </c>
    </row>
    <row r="22" spans="1:12" s="2" customFormat="1" ht="15" customHeight="1">
      <c r="A22" s="13" t="s">
        <v>21</v>
      </c>
      <c r="B22" s="22">
        <v>0.044</v>
      </c>
      <c r="C22" s="64">
        <v>4614801.87</v>
      </c>
      <c r="D22" s="64">
        <v>0</v>
      </c>
      <c r="E22" s="64">
        <f>15560.81</f>
        <v>15560.81</v>
      </c>
      <c r="F22" s="64">
        <v>0</v>
      </c>
      <c r="G22" s="65">
        <f t="shared" si="5"/>
        <v>4630362.68</v>
      </c>
      <c r="H22" s="65">
        <f t="shared" si="6"/>
        <v>4630362.68</v>
      </c>
      <c r="I22" s="66"/>
      <c r="J22" s="65">
        <f>H22-K22</f>
        <v>0</v>
      </c>
      <c r="K22" s="65">
        <f>+G22</f>
        <v>4630362.68</v>
      </c>
      <c r="L22" s="2" t="s">
        <v>69</v>
      </c>
    </row>
    <row r="23" spans="1:12" s="2" customFormat="1" ht="15" customHeight="1">
      <c r="A23" s="13" t="s">
        <v>56</v>
      </c>
      <c r="B23" s="22">
        <f>0.04898</f>
        <v>0.04898</v>
      </c>
      <c r="C23" s="70">
        <v>2080347.69</v>
      </c>
      <c r="D23" s="70">
        <v>0</v>
      </c>
      <c r="E23" s="70">
        <v>7165.13</v>
      </c>
      <c r="F23" s="70">
        <v>0</v>
      </c>
      <c r="G23" s="68">
        <f t="shared" si="5"/>
        <v>2087512.8199999998</v>
      </c>
      <c r="H23" s="68">
        <f t="shared" si="6"/>
        <v>2087512.8199999998</v>
      </c>
      <c r="I23" s="66"/>
      <c r="J23" s="68">
        <f>H23-K23</f>
        <v>2029716.6121576848</v>
      </c>
      <c r="K23" s="68">
        <v>57796.20784231517</v>
      </c>
      <c r="L23" s="2" t="s">
        <v>37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13112970.95</v>
      </c>
      <c r="D24" s="70">
        <f t="shared" si="7"/>
        <v>5000000</v>
      </c>
      <c r="E24" s="70">
        <f t="shared" si="7"/>
        <v>56292.2</v>
      </c>
      <c r="F24" s="70">
        <f t="shared" si="7"/>
        <v>-3400000</v>
      </c>
      <c r="G24" s="68">
        <f t="shared" si="7"/>
        <v>14769263.15</v>
      </c>
      <c r="H24" s="68">
        <f t="shared" si="7"/>
        <v>14769263.15</v>
      </c>
      <c r="I24" s="66"/>
      <c r="J24" s="68">
        <f>SUM(J18:J23)</f>
        <v>9725140.532157686</v>
      </c>
      <c r="K24" s="68">
        <f>SUM(K18:K23)</f>
        <v>5044122.617842316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2029582.23</v>
      </c>
      <c r="D26" s="67">
        <v>0</v>
      </c>
      <c r="E26" s="67">
        <v>6933.33</v>
      </c>
      <c r="F26" s="67">
        <v>0</v>
      </c>
      <c r="G26" s="66">
        <f aca="true" t="shared" si="8" ref="G26:G32">SUM(C26:F26)</f>
        <v>2036515.56</v>
      </c>
      <c r="H26" s="66">
        <f>1944380+36515.56</f>
        <v>1980895.56</v>
      </c>
      <c r="I26" s="66"/>
      <c r="J26" s="66">
        <v>0</v>
      </c>
      <c r="K26" s="66">
        <f aca="true" t="shared" si="9" ref="K26:K32">G26</f>
        <v>2036515.56</v>
      </c>
      <c r="L26" s="2" t="s">
        <v>38</v>
      </c>
      <c r="N26" s="79">
        <f aca="true" t="shared" si="10" ref="N26:N31">+G26-H26</f>
        <v>55620</v>
      </c>
      <c r="O26" s="2" t="s">
        <v>61</v>
      </c>
    </row>
    <row r="27" spans="1:14" s="2" customFormat="1" ht="15" customHeight="1">
      <c r="A27" s="13" t="s">
        <v>45</v>
      </c>
      <c r="B27" s="14">
        <v>0.0341</v>
      </c>
      <c r="C27" s="67">
        <v>484092</v>
      </c>
      <c r="D27" s="67">
        <v>0</v>
      </c>
      <c r="E27" s="67">
        <f>1364</f>
        <v>1364</v>
      </c>
      <c r="F27" s="67">
        <v>0</v>
      </c>
      <c r="G27" s="66">
        <f t="shared" si="8"/>
        <v>485456</v>
      </c>
      <c r="H27" s="66">
        <f>468451.2+5456</f>
        <v>473907.2</v>
      </c>
      <c r="I27" s="66"/>
      <c r="J27" s="66">
        <v>0</v>
      </c>
      <c r="K27" s="66">
        <f t="shared" si="9"/>
        <v>485456</v>
      </c>
      <c r="L27" s="2" t="s">
        <v>39</v>
      </c>
      <c r="N27" s="79">
        <f t="shared" si="10"/>
        <v>11548.799999999988</v>
      </c>
    </row>
    <row r="28" spans="1:14" s="2" customFormat="1" ht="15" customHeight="1">
      <c r="A28" s="13" t="s">
        <v>44</v>
      </c>
      <c r="B28" s="14">
        <v>0.03</v>
      </c>
      <c r="C28" s="67">
        <v>1008500</v>
      </c>
      <c r="D28" s="67">
        <v>0</v>
      </c>
      <c r="E28" s="67">
        <f>2500</f>
        <v>2500</v>
      </c>
      <c r="F28" s="67">
        <v>0</v>
      </c>
      <c r="G28" s="66">
        <f t="shared" si="8"/>
        <v>1011000</v>
      </c>
      <c r="H28" s="66">
        <f>982500+11000</f>
        <v>993500</v>
      </c>
      <c r="I28" s="66"/>
      <c r="J28" s="66">
        <v>0</v>
      </c>
      <c r="K28" s="66">
        <f t="shared" si="9"/>
        <v>1011000</v>
      </c>
      <c r="L28" s="2" t="s">
        <v>41</v>
      </c>
      <c r="N28" s="79">
        <f t="shared" si="10"/>
        <v>17500</v>
      </c>
    </row>
    <row r="29" spans="1:14" s="2" customFormat="1" ht="15" customHeight="1">
      <c r="A29" s="13" t="s">
        <v>48</v>
      </c>
      <c r="B29" s="14">
        <v>0.0355</v>
      </c>
      <c r="C29" s="67">
        <v>524307.34</v>
      </c>
      <c r="D29" s="67">
        <v>0</v>
      </c>
      <c r="E29" s="67">
        <v>1538.33</v>
      </c>
      <c r="F29" s="67">
        <v>0</v>
      </c>
      <c r="G29" s="66">
        <f t="shared" si="8"/>
        <v>525845.6699999999</v>
      </c>
      <c r="H29" s="66">
        <f>508627.6+5845.67</f>
        <v>514473.26999999996</v>
      </c>
      <c r="I29" s="66"/>
      <c r="J29" s="66">
        <v>0</v>
      </c>
      <c r="K29" s="66">
        <f t="shared" si="9"/>
        <v>525845.6699999999</v>
      </c>
      <c r="L29" s="2" t="s">
        <v>46</v>
      </c>
      <c r="N29" s="79">
        <f t="shared" si="10"/>
        <v>11372.399999999965</v>
      </c>
    </row>
    <row r="30" spans="1:14" s="2" customFormat="1" ht="15" customHeight="1">
      <c r="A30" s="13" t="s">
        <v>49</v>
      </c>
      <c r="B30" s="14">
        <v>0.0357</v>
      </c>
      <c r="C30" s="67">
        <v>1007635.83</v>
      </c>
      <c r="D30" s="67">
        <v>0</v>
      </c>
      <c r="E30" s="67">
        <f>2975</f>
        <v>2975</v>
      </c>
      <c r="F30" s="67">
        <v>0</v>
      </c>
      <c r="G30" s="66">
        <f t="shared" si="8"/>
        <v>1010610.83</v>
      </c>
      <c r="H30" s="66">
        <f>975630+10610.83</f>
        <v>986240.83</v>
      </c>
      <c r="I30" s="66"/>
      <c r="J30" s="66">
        <v>0</v>
      </c>
      <c r="K30" s="66">
        <f t="shared" si="9"/>
        <v>1010610.83</v>
      </c>
      <c r="L30" s="2" t="s">
        <v>47</v>
      </c>
      <c r="N30" s="79">
        <f t="shared" si="10"/>
        <v>24370</v>
      </c>
    </row>
    <row r="31" spans="1:14" s="2" customFormat="1" ht="15" customHeight="1">
      <c r="A31" s="13" t="s">
        <v>50</v>
      </c>
      <c r="B31" s="14">
        <v>0.04</v>
      </c>
      <c r="C31" s="67">
        <v>1013666.66</v>
      </c>
      <c r="D31" s="67">
        <v>0</v>
      </c>
      <c r="E31" s="67">
        <v>3333.34</v>
      </c>
      <c r="F31" s="67">
        <v>0</v>
      </c>
      <c r="G31" s="66">
        <f t="shared" si="8"/>
        <v>1017000</v>
      </c>
      <c r="H31" s="66">
        <f>999060+17000</f>
        <v>1016060</v>
      </c>
      <c r="I31" s="66"/>
      <c r="J31" s="66">
        <v>0</v>
      </c>
      <c r="K31" s="66">
        <f t="shared" si="9"/>
        <v>1017000</v>
      </c>
      <c r="L31" s="2" t="s">
        <v>51</v>
      </c>
      <c r="N31" s="79">
        <f t="shared" si="10"/>
        <v>940</v>
      </c>
    </row>
    <row r="32" spans="1:12" s="2" customFormat="1" ht="15" customHeight="1">
      <c r="A32" s="13" t="s">
        <v>52</v>
      </c>
      <c r="B32" s="14">
        <v>0.0166</v>
      </c>
      <c r="C32" s="70">
        <v>2922.78</v>
      </c>
      <c r="D32" s="70">
        <v>0</v>
      </c>
      <c r="E32" s="70">
        <v>5.14</v>
      </c>
      <c r="F32" s="70">
        <v>0</v>
      </c>
      <c r="G32" s="68">
        <f t="shared" si="8"/>
        <v>2927.92</v>
      </c>
      <c r="H32" s="68">
        <f>2922.78</f>
        <v>2922.78</v>
      </c>
      <c r="I32" s="66"/>
      <c r="J32" s="68">
        <v>0</v>
      </c>
      <c r="K32" s="68">
        <f t="shared" si="9"/>
        <v>2927.92</v>
      </c>
      <c r="L32" s="2" t="s">
        <v>53</v>
      </c>
    </row>
    <row r="33" spans="1:15" ht="15" customHeight="1">
      <c r="A33" s="2" t="s">
        <v>3</v>
      </c>
      <c r="B33" s="10" t="s">
        <v>1</v>
      </c>
      <c r="C33" s="71">
        <f aca="true" t="shared" si="11" ref="C33:H33">SUM(C26:C32)</f>
        <v>6070706.84</v>
      </c>
      <c r="D33" s="71">
        <f t="shared" si="11"/>
        <v>0</v>
      </c>
      <c r="E33" s="71">
        <f t="shared" si="11"/>
        <v>18649.14</v>
      </c>
      <c r="F33" s="71">
        <f t="shared" si="11"/>
        <v>0</v>
      </c>
      <c r="G33" s="72">
        <f t="shared" si="11"/>
        <v>6089355.9799999995</v>
      </c>
      <c r="H33" s="72">
        <f t="shared" si="11"/>
        <v>5967999.640000001</v>
      </c>
      <c r="I33" s="73"/>
      <c r="J33" s="72">
        <f>SUM(J26:J26)</f>
        <v>0</v>
      </c>
      <c r="K33" s="72">
        <f>SUM(K26:K32)</f>
        <v>6089355.9799999995</v>
      </c>
      <c r="L33" s="2"/>
      <c r="M33" s="2"/>
      <c r="N33" s="15"/>
      <c r="O33" s="2"/>
    </row>
    <row r="34" spans="1:12" ht="15" customHeight="1">
      <c r="A34" s="2"/>
      <c r="B34" s="2"/>
      <c r="C34" s="74"/>
      <c r="D34" s="74"/>
      <c r="E34" s="74"/>
      <c r="F34" s="74"/>
      <c r="G34" s="75"/>
      <c r="H34" s="75"/>
      <c r="I34" s="73"/>
      <c r="J34" s="75"/>
      <c r="K34" s="76"/>
      <c r="L34" s="17"/>
    </row>
    <row r="35" spans="1:13" ht="15" customHeight="1" thickBot="1">
      <c r="A35" s="8" t="s">
        <v>16</v>
      </c>
      <c r="B35" s="8"/>
      <c r="C35" s="77">
        <f aca="true" t="shared" si="12" ref="C35:H35">SUM(C33,C24,C16)</f>
        <v>25021951.549999997</v>
      </c>
      <c r="D35" s="77">
        <f t="shared" si="12"/>
        <v>36687266.45999999</v>
      </c>
      <c r="E35" s="77">
        <f t="shared" si="12"/>
        <v>95903.23999999999</v>
      </c>
      <c r="F35" s="77">
        <f t="shared" si="12"/>
        <v>-36327870.03</v>
      </c>
      <c r="G35" s="78">
        <f t="shared" si="12"/>
        <v>25477251.22</v>
      </c>
      <c r="H35" s="78">
        <f t="shared" si="12"/>
        <v>25355894.88</v>
      </c>
      <c r="I35" s="73"/>
      <c r="J35" s="78">
        <f>SUM(J33,J24,J16)</f>
        <v>12723193.072157685</v>
      </c>
      <c r="K35" s="78">
        <f>SUM(K33,K24,K16)</f>
        <v>12754058.147842316</v>
      </c>
      <c r="M35" s="17"/>
    </row>
    <row r="36" spans="1:11" ht="15" customHeight="1" thickTop="1">
      <c r="A36" s="5"/>
      <c r="B36" s="5"/>
      <c r="C36" s="31"/>
      <c r="D36" s="31"/>
      <c r="E36" s="31"/>
      <c r="F36" s="26"/>
      <c r="G36" s="31"/>
      <c r="H36" s="31"/>
      <c r="I36" s="37"/>
      <c r="J36" s="31"/>
      <c r="K36" s="31"/>
    </row>
    <row r="37" spans="1:11" ht="15" customHeight="1">
      <c r="A37" s="12" t="s">
        <v>31</v>
      </c>
      <c r="C37" s="40" t="s">
        <v>74</v>
      </c>
      <c r="D37" s="40" t="s">
        <v>72</v>
      </c>
      <c r="E37" s="40" t="s">
        <v>75</v>
      </c>
      <c r="F37" s="31"/>
      <c r="G37" s="31"/>
      <c r="H37" s="31" t="s">
        <v>76</v>
      </c>
      <c r="I37" s="37"/>
      <c r="J37" s="31"/>
      <c r="K37" s="31">
        <f>+K19+K22</f>
        <v>4662426.68</v>
      </c>
    </row>
    <row r="38" spans="1:11" ht="15" customHeight="1">
      <c r="A38" s="2" t="s">
        <v>30</v>
      </c>
      <c r="B38" s="2"/>
      <c r="C38" s="18">
        <v>0.046</v>
      </c>
      <c r="D38" s="18">
        <v>0.04435</v>
      </c>
      <c r="E38" s="18">
        <v>0.02935</v>
      </c>
      <c r="F38" s="32"/>
      <c r="G38" s="32"/>
      <c r="H38" s="32"/>
      <c r="I38" s="38"/>
      <c r="J38" s="32"/>
      <c r="K38" s="32"/>
    </row>
    <row r="39" spans="6:11" ht="15" customHeight="1">
      <c r="F39" s="32"/>
      <c r="G39" s="32"/>
      <c r="H39" s="32" t="s">
        <v>77</v>
      </c>
      <c r="I39" s="38"/>
      <c r="J39" s="32"/>
      <c r="K39" s="32">
        <f>+K35-K37</f>
        <v>8091631.467842316</v>
      </c>
    </row>
    <row r="40" spans="1:11" ht="12.75">
      <c r="A40" s="2" t="s">
        <v>27</v>
      </c>
      <c r="H40" s="33" t="s">
        <v>78</v>
      </c>
      <c r="K40" s="39">
        <v>7989176.27</v>
      </c>
    </row>
    <row r="41" ht="12.75">
      <c r="K41" s="39">
        <f>+K39-K40</f>
        <v>102455.1978423167</v>
      </c>
    </row>
    <row r="42" spans="1:11" ht="12.75">
      <c r="A42" s="1" t="s">
        <v>26</v>
      </c>
      <c r="K42" s="39"/>
    </row>
    <row r="43" ht="12.75">
      <c r="K43" s="39"/>
    </row>
    <row r="44" spans="1:11" ht="12.75">
      <c r="A44" s="11"/>
      <c r="K44" s="39"/>
    </row>
    <row r="45" spans="1:11" ht="12.75">
      <c r="A45" s="1" t="s">
        <v>28</v>
      </c>
      <c r="K45" s="39"/>
    </row>
    <row r="47" ht="12.75">
      <c r="A47" s="11"/>
    </row>
    <row r="48" ht="12.75">
      <c r="A48" s="1" t="s">
        <v>29</v>
      </c>
    </row>
    <row r="50" ht="9.75" customHeight="1"/>
    <row r="51" spans="1:2" ht="9.75" customHeight="1">
      <c r="A51" s="6" t="s">
        <v>1</v>
      </c>
      <c r="B51" s="6"/>
    </row>
    <row r="52" ht="9.75" customHeight="1"/>
  </sheetData>
  <printOptions/>
  <pageMargins left="0.5" right="0.25" top="0.66" bottom="0.5" header="0.17" footer="0.5"/>
  <pageSetup fitToHeight="1" fitToWidth="1" horizontalDpi="600" verticalDpi="600" orientation="landscape" scale="77" r:id="rId1"/>
  <headerFooter alignWithMargins="0">
    <oddHeader>&amp;C&amp;"Arial,Bold"BLINN COLLEGE
INVESTMENT REPORT BY FUND
FEBRUARY 28,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147">
    <pageSetUpPr fitToPage="1"/>
  </sheetPr>
  <dimension ref="A1:O52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0.00390625" style="1" bestFit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74</v>
      </c>
      <c r="D3" s="29" t="s">
        <v>10</v>
      </c>
      <c r="E3" s="29" t="s">
        <v>54</v>
      </c>
      <c r="F3" s="29" t="s">
        <v>11</v>
      </c>
      <c r="G3" s="41" t="s">
        <v>79</v>
      </c>
      <c r="H3" s="41" t="s">
        <v>79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v>0.0467</v>
      </c>
      <c r="C5" s="64">
        <v>1603313.68</v>
      </c>
      <c r="D5" s="64">
        <f>7035604.93</f>
        <v>7035604.93</v>
      </c>
      <c r="E5" s="64">
        <f>7988.61</f>
        <v>7988.61</v>
      </c>
      <c r="F5" s="64">
        <f>-6804915.68</f>
        <v>-6804915.68</v>
      </c>
      <c r="G5" s="65">
        <f aca="true" t="shared" si="0" ref="G5:G15">SUM(C5:F5)</f>
        <v>1841991.539999999</v>
      </c>
      <c r="H5" s="65">
        <f aca="true" t="shared" si="1" ref="H5:H14">G5</f>
        <v>1841991.539999999</v>
      </c>
      <c r="I5" s="66"/>
      <c r="J5" s="65">
        <f>H5-K5</f>
        <v>1841991.539999999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v>0.0467</v>
      </c>
      <c r="C6" s="64">
        <v>67109.5</v>
      </c>
      <c r="D6" s="64">
        <f>886216.16</f>
        <v>886216.16</v>
      </c>
      <c r="E6" s="64">
        <f>1187.05</f>
        <v>1187.05</v>
      </c>
      <c r="F6" s="64">
        <f>-356973.77</f>
        <v>-356973.77</v>
      </c>
      <c r="G6" s="65">
        <f t="shared" si="0"/>
        <v>597538.9400000001</v>
      </c>
      <c r="H6" s="65">
        <f t="shared" si="1"/>
        <v>597538.9400000001</v>
      </c>
      <c r="I6" s="66"/>
      <c r="J6" s="65">
        <f>H6</f>
        <v>597538.9400000001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v>0.0467</v>
      </c>
      <c r="C7" s="64">
        <v>1172409.08</v>
      </c>
      <c r="D7" s="64">
        <f>4145601.84</f>
        <v>4145601.84</v>
      </c>
      <c r="E7" s="64">
        <f>5665.17</f>
        <v>5665.17</v>
      </c>
      <c r="F7" s="64">
        <f>-4090240.94</f>
        <v>-4090240.94</v>
      </c>
      <c r="G7" s="65">
        <f t="shared" si="0"/>
        <v>1233435.15</v>
      </c>
      <c r="H7" s="65">
        <f t="shared" si="1"/>
        <v>1233435.15</v>
      </c>
      <c r="I7" s="66"/>
      <c r="J7" s="65">
        <f>H7</f>
        <v>1233435.15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v>0.0467</v>
      </c>
      <c r="C8" s="64">
        <v>32767.83</v>
      </c>
      <c r="D8" s="64">
        <f>2580559.31</f>
        <v>2580559.31</v>
      </c>
      <c r="E8" s="64">
        <f>157.08</f>
        <v>157.08</v>
      </c>
      <c r="F8" s="64">
        <f>-2583327.14</f>
        <v>-2583327.14</v>
      </c>
      <c r="G8" s="65">
        <f t="shared" si="0"/>
        <v>30157.080000000075</v>
      </c>
      <c r="H8" s="65">
        <f t="shared" si="1"/>
        <v>30157.080000000075</v>
      </c>
      <c r="I8" s="66"/>
      <c r="J8" s="65">
        <f>H8</f>
        <v>30157.080000000075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v>0.0467</v>
      </c>
      <c r="C9" s="64">
        <v>1620579.55</v>
      </c>
      <c r="D9" s="64">
        <v>0</v>
      </c>
      <c r="E9" s="64">
        <f>6695.87</f>
        <v>6695.87</v>
      </c>
      <c r="F9" s="64">
        <v>0</v>
      </c>
      <c r="G9" s="65">
        <f t="shared" si="0"/>
        <v>1627275.4200000002</v>
      </c>
      <c r="H9" s="65">
        <f t="shared" si="1"/>
        <v>1627275.4200000002</v>
      </c>
      <c r="I9" s="66"/>
      <c r="J9" s="65">
        <v>0</v>
      </c>
      <c r="K9" s="65">
        <f>+H9</f>
        <v>1627275.4200000002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v>2997.55</v>
      </c>
      <c r="D10" s="64">
        <v>5000</v>
      </c>
      <c r="E10" s="64">
        <v>0</v>
      </c>
      <c r="F10" s="64">
        <f>-4580.64</f>
        <v>-4580.64</v>
      </c>
      <c r="G10" s="65">
        <f t="shared" si="0"/>
        <v>3416.91</v>
      </c>
      <c r="H10" s="65">
        <f t="shared" si="1"/>
        <v>3416.91</v>
      </c>
      <c r="I10" s="66"/>
      <c r="J10" s="65">
        <f aca="true" t="shared" si="3" ref="J10:J15">H10</f>
        <v>3416.91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v>24653.7</v>
      </c>
      <c r="D11" s="64">
        <f>4394.22</f>
        <v>4394.22</v>
      </c>
      <c r="E11" s="64">
        <v>0</v>
      </c>
      <c r="F11" s="64">
        <f>-4047.92</f>
        <v>-4047.92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v>62822.22</v>
      </c>
      <c r="D12" s="64">
        <f>422372.72</f>
        <v>422372.72</v>
      </c>
      <c r="E12" s="64">
        <v>0</v>
      </c>
      <c r="F12" s="64">
        <f>-433893.58</f>
        <v>-433893.58</v>
      </c>
      <c r="G12" s="65">
        <f t="shared" si="0"/>
        <v>51301.35999999993</v>
      </c>
      <c r="H12" s="65">
        <f t="shared" si="1"/>
        <v>51301.35999999993</v>
      </c>
      <c r="I12" s="66"/>
      <c r="J12" s="65">
        <f t="shared" si="3"/>
        <v>51301.35999999993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v>4101.51</v>
      </c>
      <c r="D13" s="64">
        <v>0</v>
      </c>
      <c r="E13" s="64">
        <v>0</v>
      </c>
      <c r="F13" s="64">
        <v>0</v>
      </c>
      <c r="G13" s="65">
        <f t="shared" si="0"/>
        <v>4101.51</v>
      </c>
      <c r="H13" s="65">
        <f t="shared" si="1"/>
        <v>4101.51</v>
      </c>
      <c r="I13" s="66"/>
      <c r="J13" s="65">
        <f t="shared" si="3"/>
        <v>4101.51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v>14684.6</v>
      </c>
      <c r="D14" s="67">
        <f>19935.83</f>
        <v>19935.83</v>
      </c>
      <c r="E14" s="67">
        <v>0</v>
      </c>
      <c r="F14" s="67">
        <f>-510.73</f>
        <v>-510.73</v>
      </c>
      <c r="G14" s="66">
        <f t="shared" si="0"/>
        <v>34109.7</v>
      </c>
      <c r="H14" s="66">
        <f t="shared" si="1"/>
        <v>34109.7</v>
      </c>
      <c r="I14" s="66"/>
      <c r="J14" s="66">
        <f t="shared" si="3"/>
        <v>34109.7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v>13192.87</v>
      </c>
      <c r="D15" s="67">
        <f>467.5+40</f>
        <v>507.5</v>
      </c>
      <c r="E15" s="67">
        <v>0</v>
      </c>
      <c r="F15" s="67">
        <v>0</v>
      </c>
      <c r="G15" s="66">
        <f t="shared" si="0"/>
        <v>13700.37</v>
      </c>
      <c r="H15" s="68">
        <f>+G15</f>
        <v>13700.37</v>
      </c>
      <c r="I15" s="66"/>
      <c r="J15" s="68">
        <f t="shared" si="3"/>
        <v>13700.37</v>
      </c>
      <c r="K15" s="68">
        <v>0</v>
      </c>
      <c r="L15" s="25">
        <f t="shared" si="2"/>
        <v>0</v>
      </c>
      <c r="M15" s="13" t="s">
        <v>81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4618632.089999999</v>
      </c>
      <c r="D16" s="69">
        <f t="shared" si="4"/>
        <v>15100192.510000002</v>
      </c>
      <c r="E16" s="69">
        <f t="shared" si="4"/>
        <v>21693.78</v>
      </c>
      <c r="F16" s="69">
        <f t="shared" si="4"/>
        <v>-14278490.4</v>
      </c>
      <c r="G16" s="69">
        <f t="shared" si="4"/>
        <v>5462027.9799999995</v>
      </c>
      <c r="H16" s="69">
        <f t="shared" si="4"/>
        <v>5462027.9799999995</v>
      </c>
      <c r="I16" s="66"/>
      <c r="J16" s="68">
        <f>SUM(J5:J15)</f>
        <v>3834752.559999999</v>
      </c>
      <c r="K16" s="68">
        <f>SUM(K5:K15)</f>
        <v>1627275.4200000002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0.045697</v>
      </c>
      <c r="C18" s="64">
        <v>323899.73</v>
      </c>
      <c r="D18" s="64">
        <v>0</v>
      </c>
      <c r="E18" s="64">
        <f>1257.09</f>
        <v>1257.09</v>
      </c>
      <c r="F18" s="64">
        <v>0</v>
      </c>
      <c r="G18" s="65">
        <f aca="true" t="shared" si="5" ref="G18:G23">SUM(C18:F18)</f>
        <v>325156.82</v>
      </c>
      <c r="H18" s="65">
        <f aca="true" t="shared" si="6" ref="H18:H23">G18</f>
        <v>325156.82</v>
      </c>
      <c r="I18" s="66"/>
      <c r="J18" s="65">
        <v>0</v>
      </c>
      <c r="K18" s="65">
        <f>H18</f>
        <v>325156.82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0.045697</v>
      </c>
      <c r="C19" s="64">
        <f>6623350.05+221500.21</f>
        <v>6844850.26</v>
      </c>
      <c r="D19" s="64">
        <v>0</v>
      </c>
      <c r="E19" s="64">
        <f>1576.34+18669.43</f>
        <v>20245.77</v>
      </c>
      <c r="F19" s="64">
        <f>-4000000</f>
        <v>-4000000</v>
      </c>
      <c r="G19" s="65">
        <f t="shared" si="5"/>
        <v>2865096.0299999993</v>
      </c>
      <c r="H19" s="65">
        <f t="shared" si="6"/>
        <v>2865096.0299999993</v>
      </c>
      <c r="I19" s="66"/>
      <c r="J19" s="65">
        <f>H19-K19</f>
        <v>2833032.0299999993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0.0447</v>
      </c>
      <c r="C21" s="64">
        <v>882637.66</v>
      </c>
      <c r="D21" s="64">
        <v>0</v>
      </c>
      <c r="E21" s="64">
        <f>3348.79</f>
        <v>3348.79</v>
      </c>
      <c r="F21" s="64">
        <v>0</v>
      </c>
      <c r="G21" s="65">
        <f t="shared" si="5"/>
        <v>885986.4500000001</v>
      </c>
      <c r="H21" s="65">
        <f t="shared" si="6"/>
        <v>885986.4500000001</v>
      </c>
      <c r="I21" s="66"/>
      <c r="J21" s="65">
        <f>H21-K21</f>
        <v>885986.4500000001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0.0447</v>
      </c>
      <c r="C22" s="64">
        <v>4630362.68</v>
      </c>
      <c r="D22" s="64">
        <v>0</v>
      </c>
      <c r="E22" s="64">
        <f>17567.91</f>
        <v>17567.91</v>
      </c>
      <c r="F22" s="64">
        <v>0</v>
      </c>
      <c r="G22" s="65">
        <f t="shared" si="5"/>
        <v>4647930.59</v>
      </c>
      <c r="H22" s="65">
        <f t="shared" si="6"/>
        <v>4647930.59</v>
      </c>
      <c r="I22" s="66"/>
      <c r="J22" s="65">
        <f>H22-K22</f>
        <v>0</v>
      </c>
      <c r="K22" s="65">
        <f>+G22</f>
        <v>4647930.59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0.045746</f>
        <v>0.045746</v>
      </c>
      <c r="C23" s="70">
        <v>2087512.82</v>
      </c>
      <c r="D23" s="70">
        <v>0</v>
      </c>
      <c r="E23" s="70">
        <f>7885.24+225.33</f>
        <v>8110.57</v>
      </c>
      <c r="F23" s="70">
        <v>0</v>
      </c>
      <c r="G23" s="68">
        <f t="shared" si="5"/>
        <v>2095623.3900000001</v>
      </c>
      <c r="H23" s="68">
        <f t="shared" si="6"/>
        <v>2095623.3900000001</v>
      </c>
      <c r="I23" s="66"/>
      <c r="J23" s="68">
        <f>H23-K23</f>
        <v>2037402.79</v>
      </c>
      <c r="K23" s="68">
        <f>58220.6</f>
        <v>58220.6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14769263.15</v>
      </c>
      <c r="D24" s="70">
        <f t="shared" si="7"/>
        <v>0</v>
      </c>
      <c r="E24" s="70">
        <f t="shared" si="7"/>
        <v>50530.13</v>
      </c>
      <c r="F24" s="70">
        <f t="shared" si="7"/>
        <v>-4000000</v>
      </c>
      <c r="G24" s="68">
        <f t="shared" si="7"/>
        <v>10819793.28</v>
      </c>
      <c r="H24" s="68">
        <f t="shared" si="7"/>
        <v>10819793.28</v>
      </c>
      <c r="I24" s="66"/>
      <c r="J24" s="68">
        <f>SUM(J18:J23)</f>
        <v>5756421.27</v>
      </c>
      <c r="K24" s="68">
        <f>SUM(K18:K23)</f>
        <v>5063372.01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v>2036515.56</v>
      </c>
      <c r="D26" s="67">
        <v>0</v>
      </c>
      <c r="E26" s="67">
        <v>6933.33</v>
      </c>
      <c r="F26" s="67">
        <v>0</v>
      </c>
      <c r="G26" s="66">
        <f aca="true" t="shared" si="8" ref="G26:G33">SUM(C26:F26)</f>
        <v>2043448.8900000001</v>
      </c>
      <c r="H26" s="66">
        <f>1934380+1848.89+41600</f>
        <v>1977828.89</v>
      </c>
      <c r="I26" s="66"/>
      <c r="J26" s="66">
        <v>0</v>
      </c>
      <c r="K26" s="66">
        <f aca="true" t="shared" si="9" ref="K26:K33">G26</f>
        <v>2043448.8900000001</v>
      </c>
      <c r="L26" s="2" t="s">
        <v>38</v>
      </c>
      <c r="N26" s="79">
        <f aca="true" t="shared" si="10" ref="N26:N31">+G26-H26</f>
        <v>65620.00000000023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v>485456</v>
      </c>
      <c r="D27" s="67">
        <v>0</v>
      </c>
      <c r="E27" s="67">
        <f>1364</f>
        <v>1364</v>
      </c>
      <c r="F27" s="67">
        <v>0</v>
      </c>
      <c r="G27" s="66">
        <f t="shared" si="8"/>
        <v>486820</v>
      </c>
      <c r="H27" s="66">
        <f>467851.2+6820</f>
        <v>474671.2</v>
      </c>
      <c r="I27" s="66"/>
      <c r="J27" s="66">
        <v>0</v>
      </c>
      <c r="K27" s="66">
        <f t="shared" si="9"/>
        <v>486820</v>
      </c>
      <c r="L27" s="2" t="s">
        <v>39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v>1011000</v>
      </c>
      <c r="D28" s="67">
        <v>0</v>
      </c>
      <c r="E28" s="67">
        <f>2500</f>
        <v>2500</v>
      </c>
      <c r="F28" s="67">
        <v>0</v>
      </c>
      <c r="G28" s="66">
        <f t="shared" si="8"/>
        <v>1013500</v>
      </c>
      <c r="H28" s="66">
        <f>980940+13500</f>
        <v>994440</v>
      </c>
      <c r="I28" s="66"/>
      <c r="J28" s="66">
        <v>0</v>
      </c>
      <c r="K28" s="66">
        <f t="shared" si="9"/>
        <v>1013500</v>
      </c>
      <c r="L28" s="2" t="s">
        <v>41</v>
      </c>
      <c r="N28" s="79">
        <f t="shared" si="10"/>
        <v>19060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v>525845.67</v>
      </c>
      <c r="D29" s="67">
        <v>0</v>
      </c>
      <c r="E29" s="67">
        <v>1538.33</v>
      </c>
      <c r="F29" s="67">
        <v>0</v>
      </c>
      <c r="G29" s="66">
        <f t="shared" si="8"/>
        <v>527384</v>
      </c>
      <c r="H29" s="66">
        <f>507811.2+7384</f>
        <v>515195.2</v>
      </c>
      <c r="I29" s="66"/>
      <c r="J29" s="66">
        <v>0</v>
      </c>
      <c r="K29" s="66">
        <f t="shared" si="9"/>
        <v>527384</v>
      </c>
      <c r="L29" s="2" t="s">
        <v>46</v>
      </c>
      <c r="N29" s="79">
        <f t="shared" si="10"/>
        <v>12188.799999999988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v>1010610.83</v>
      </c>
      <c r="D30" s="67">
        <v>0</v>
      </c>
      <c r="E30" s="67">
        <f>2975</f>
        <v>2975</v>
      </c>
      <c r="F30" s="67">
        <v>0</v>
      </c>
      <c r="G30" s="66">
        <f t="shared" si="8"/>
        <v>1013585.83</v>
      </c>
      <c r="H30" s="66">
        <f>973440+13585.83</f>
        <v>987025.83</v>
      </c>
      <c r="I30" s="66"/>
      <c r="J30" s="66">
        <v>0</v>
      </c>
      <c r="K30" s="66">
        <f t="shared" si="9"/>
        <v>1013585.83</v>
      </c>
      <c r="L30" s="2" t="s">
        <v>47</v>
      </c>
      <c r="N30" s="79">
        <f t="shared" si="10"/>
        <v>26560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v>1017000</v>
      </c>
      <c r="D31" s="67">
        <v>0</v>
      </c>
      <c r="E31" s="67">
        <f>3000</f>
        <v>3000</v>
      </c>
      <c r="F31" s="67">
        <f>-1000000</f>
        <v>-1000000</v>
      </c>
      <c r="G31" s="66">
        <f t="shared" si="8"/>
        <v>20000</v>
      </c>
      <c r="H31" s="66">
        <f>20000</f>
        <v>20000</v>
      </c>
      <c r="I31" s="66"/>
      <c r="J31" s="66">
        <v>0</v>
      </c>
      <c r="K31" s="66">
        <f t="shared" si="9"/>
        <v>20000</v>
      </c>
      <c r="L31" s="2" t="s">
        <v>51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v>0</v>
      </c>
      <c r="D32" s="67">
        <v>1000000</v>
      </c>
      <c r="E32" s="67">
        <v>0</v>
      </c>
      <c r="F32" s="67">
        <v>0</v>
      </c>
      <c r="G32" s="66">
        <f t="shared" si="8"/>
        <v>1000000</v>
      </c>
      <c r="H32" s="66">
        <f>997950</f>
        <v>997950</v>
      </c>
      <c r="I32" s="66"/>
      <c r="J32" s="66">
        <v>0</v>
      </c>
      <c r="K32" s="66">
        <f>G32</f>
        <v>1000000</v>
      </c>
      <c r="L32" s="2" t="s">
        <v>83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0.0237</v>
      </c>
      <c r="C33" s="70">
        <v>2927.92</v>
      </c>
      <c r="D33" s="70">
        <v>0</v>
      </c>
      <c r="E33" s="70">
        <v>72</v>
      </c>
      <c r="F33" s="70">
        <v>0</v>
      </c>
      <c r="G33" s="68">
        <f t="shared" si="8"/>
        <v>2999.92</v>
      </c>
      <c r="H33" s="68">
        <f>+G33</f>
        <v>2999.92</v>
      </c>
      <c r="I33" s="66"/>
      <c r="J33" s="68">
        <v>0</v>
      </c>
      <c r="K33" s="68">
        <f t="shared" si="9"/>
        <v>2999.92</v>
      </c>
      <c r="L33" s="2" t="s">
        <v>53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6089355.9799999995</v>
      </c>
      <c r="D34" s="71">
        <f t="shared" si="11"/>
        <v>1000000</v>
      </c>
      <c r="E34" s="71">
        <f t="shared" si="11"/>
        <v>18382.66</v>
      </c>
      <c r="F34" s="71">
        <f t="shared" si="11"/>
        <v>-1000000</v>
      </c>
      <c r="G34" s="72">
        <f t="shared" si="11"/>
        <v>6107738.64</v>
      </c>
      <c r="H34" s="72">
        <f t="shared" si="11"/>
        <v>5970111.04</v>
      </c>
      <c r="I34" s="73"/>
      <c r="J34" s="72">
        <f>SUM(J26:J26)</f>
        <v>0</v>
      </c>
      <c r="K34" s="72">
        <f>SUM(K26:K33)</f>
        <v>6107738.64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25477251.22</v>
      </c>
      <c r="D36" s="77">
        <f t="shared" si="12"/>
        <v>16100192.510000002</v>
      </c>
      <c r="E36" s="77">
        <f t="shared" si="12"/>
        <v>90606.56999999999</v>
      </c>
      <c r="F36" s="77">
        <f t="shared" si="12"/>
        <v>-19278490.4</v>
      </c>
      <c r="G36" s="78">
        <f t="shared" si="12"/>
        <v>22389559.9</v>
      </c>
      <c r="H36" s="78">
        <f t="shared" si="12"/>
        <v>22251932.3</v>
      </c>
      <c r="I36" s="73"/>
      <c r="J36" s="78">
        <f>SUM(J34,J24,J16)</f>
        <v>9591173.829999998</v>
      </c>
      <c r="K36" s="78">
        <f>SUM(K34,K24,K16)</f>
        <v>12798386.069999998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79</v>
      </c>
      <c r="D38" s="40" t="s">
        <v>74</v>
      </c>
      <c r="E38" s="40" t="s">
        <v>80</v>
      </c>
      <c r="F38" s="31"/>
      <c r="G38" s="31"/>
      <c r="H38" s="31"/>
      <c r="I38" s="37"/>
      <c r="J38" s="31"/>
      <c r="K38" s="31"/>
    </row>
    <row r="39" spans="1:11" ht="15" customHeight="1">
      <c r="A39" s="2" t="s">
        <v>30</v>
      </c>
      <c r="B39" s="2"/>
      <c r="C39" s="18">
        <v>0.046</v>
      </c>
      <c r="D39" s="18">
        <v>0.046</v>
      </c>
      <c r="E39" s="18">
        <v>0.0309</v>
      </c>
      <c r="F39" s="32"/>
      <c r="G39" s="32"/>
      <c r="H39" s="32"/>
      <c r="I39" s="38"/>
      <c r="J39" s="32"/>
      <c r="K39" s="32"/>
    </row>
    <row r="40" spans="6:11" ht="15" customHeight="1">
      <c r="F40" s="32"/>
      <c r="G40" s="32"/>
      <c r="H40" s="32"/>
      <c r="I40" s="38"/>
      <c r="J40" s="32"/>
      <c r="K40" s="32"/>
    </row>
    <row r="41" spans="1:11" ht="12.75">
      <c r="A41" s="2" t="s">
        <v>27</v>
      </c>
      <c r="K41" s="39"/>
    </row>
    <row r="42" ht="12.75">
      <c r="K42" s="39"/>
    </row>
    <row r="43" spans="1:11" ht="12.75">
      <c r="A43" s="1" t="s">
        <v>26</v>
      </c>
      <c r="K43" s="39"/>
    </row>
    <row r="44" ht="12.75">
      <c r="K44" s="39"/>
    </row>
    <row r="45" spans="1:11" ht="12.75">
      <c r="A45" s="11"/>
      <c r="K45" s="39"/>
    </row>
    <row r="46" spans="1:11" ht="12.75">
      <c r="A46" s="1" t="s">
        <v>28</v>
      </c>
      <c r="K46" s="39"/>
    </row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MARCH 31,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148">
    <pageSetUpPr fitToPage="1"/>
  </sheetPr>
  <dimension ref="A1:O52"/>
  <sheetViews>
    <sheetView workbookViewId="0" topLeftCell="A1">
      <pane xSplit="1" ySplit="3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8" sqref="K48"/>
    </sheetView>
  </sheetViews>
  <sheetFormatPr defaultColWidth="9.140625" defaultRowHeight="12.75"/>
  <cols>
    <col min="1" max="1" width="37.8515625" style="1" customWidth="1"/>
    <col min="2" max="2" width="8.140625" style="1" customWidth="1"/>
    <col min="3" max="8" width="14.28125" style="33" customWidth="1"/>
    <col min="9" max="9" width="2.57421875" style="39" customWidth="1"/>
    <col min="10" max="10" width="13.140625" style="33" customWidth="1"/>
    <col min="11" max="11" width="13.57421875" style="33" customWidth="1"/>
    <col min="12" max="12" width="10.28125" style="1" bestFit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2:11" s="3" customFormat="1" ht="12" customHeight="1">
      <c r="B1" s="19"/>
      <c r="C1" s="30" t="s">
        <v>1</v>
      </c>
      <c r="D1" s="28"/>
      <c r="E1" s="28"/>
      <c r="F1" s="28"/>
      <c r="G1" s="28" t="s">
        <v>1</v>
      </c>
      <c r="H1" s="28" t="s">
        <v>1</v>
      </c>
      <c r="I1" s="34"/>
      <c r="J1" s="28" t="s">
        <v>1</v>
      </c>
      <c r="K1" s="28" t="s">
        <v>1</v>
      </c>
    </row>
    <row r="2" spans="1:11" s="3" customFormat="1" ht="12" customHeight="1">
      <c r="A2" s="7"/>
      <c r="B2" s="19" t="s">
        <v>18</v>
      </c>
      <c r="C2" s="30" t="s">
        <v>0</v>
      </c>
      <c r="D2" s="28"/>
      <c r="E2" s="30" t="s">
        <v>18</v>
      </c>
      <c r="F2" s="28"/>
      <c r="G2" s="30" t="s">
        <v>0</v>
      </c>
      <c r="H2" s="30" t="s">
        <v>14</v>
      </c>
      <c r="I2" s="34"/>
      <c r="J2" s="30" t="s">
        <v>7</v>
      </c>
      <c r="K2" s="30" t="s">
        <v>8</v>
      </c>
    </row>
    <row r="3" spans="1:11" s="3" customFormat="1" ht="12" customHeight="1" thickBot="1">
      <c r="A3" s="9" t="s">
        <v>1</v>
      </c>
      <c r="B3" s="20" t="s">
        <v>19</v>
      </c>
      <c r="C3" s="41" t="s">
        <v>79</v>
      </c>
      <c r="D3" s="29" t="s">
        <v>10</v>
      </c>
      <c r="E3" s="29" t="s">
        <v>54</v>
      </c>
      <c r="F3" s="29" t="s">
        <v>11</v>
      </c>
      <c r="G3" s="41" t="s">
        <v>84</v>
      </c>
      <c r="H3" s="41" t="s">
        <v>84</v>
      </c>
      <c r="I3" s="34"/>
      <c r="J3" s="29" t="s">
        <v>2</v>
      </c>
      <c r="K3" s="29" t="s">
        <v>2</v>
      </c>
    </row>
    <row r="4" spans="1:11" s="3" customFormat="1" ht="15" customHeight="1" thickTop="1">
      <c r="A4" s="4" t="s">
        <v>9</v>
      </c>
      <c r="B4" s="21"/>
      <c r="C4" s="30"/>
      <c r="D4" s="30"/>
      <c r="E4" s="30"/>
      <c r="F4" s="30"/>
      <c r="G4" s="30"/>
      <c r="H4" s="30"/>
      <c r="I4" s="35"/>
      <c r="J4" s="30"/>
      <c r="K4" s="30"/>
    </row>
    <row r="5" spans="1:13" s="13" customFormat="1" ht="15" customHeight="1">
      <c r="A5" s="13" t="s">
        <v>22</v>
      </c>
      <c r="B5" s="14">
        <f>4.77%</f>
        <v>0.04769999999999999</v>
      </c>
      <c r="C5" s="64">
        <f>1841991.54</f>
        <v>1841991.54</v>
      </c>
      <c r="D5" s="64">
        <f>5457532.62</f>
        <v>5457532.62</v>
      </c>
      <c r="E5" s="64">
        <f>7874.83</f>
        <v>7874.83</v>
      </c>
      <c r="F5" s="64">
        <f>-4324820.81</f>
        <v>-4324820.81</v>
      </c>
      <c r="G5" s="65">
        <f aca="true" t="shared" si="0" ref="G5:G15">SUM(C5:F5)</f>
        <v>2982578.1800000006</v>
      </c>
      <c r="H5" s="65">
        <f aca="true" t="shared" si="1" ref="H5:H14">G5</f>
        <v>2982578.1800000006</v>
      </c>
      <c r="I5" s="66"/>
      <c r="J5" s="65">
        <f>H5-K5</f>
        <v>2982578.1800000006</v>
      </c>
      <c r="K5" s="65">
        <v>0</v>
      </c>
      <c r="L5" s="16" t="s">
        <v>35</v>
      </c>
      <c r="M5" s="13" t="s">
        <v>61</v>
      </c>
    </row>
    <row r="6" spans="1:13" s="13" customFormat="1" ht="15" customHeight="1">
      <c r="A6" s="13" t="s">
        <v>24</v>
      </c>
      <c r="B6" s="14">
        <f>4.77%</f>
        <v>0.04769999999999999</v>
      </c>
      <c r="C6" s="64">
        <f>597538.94</f>
        <v>597538.94</v>
      </c>
      <c r="D6" s="64">
        <f>165204.52</f>
        <v>165204.52</v>
      </c>
      <c r="E6" s="64">
        <f>2315.22</f>
        <v>2315.22</v>
      </c>
      <c r="F6" s="64">
        <f>-61741.96</f>
        <v>-61741.96</v>
      </c>
      <c r="G6" s="65">
        <f t="shared" si="0"/>
        <v>703316.72</v>
      </c>
      <c r="H6" s="65">
        <f t="shared" si="1"/>
        <v>703316.72</v>
      </c>
      <c r="I6" s="66"/>
      <c r="J6" s="65">
        <f>H6</f>
        <v>703316.72</v>
      </c>
      <c r="K6" s="65">
        <v>0</v>
      </c>
      <c r="L6" s="25">
        <f aca="true" t="shared" si="2" ref="L6:L15">+G6-H6</f>
        <v>0</v>
      </c>
      <c r="M6" s="13" t="s">
        <v>61</v>
      </c>
    </row>
    <row r="7" spans="1:13" s="13" customFormat="1" ht="15" customHeight="1">
      <c r="A7" s="13" t="s">
        <v>23</v>
      </c>
      <c r="B7" s="14">
        <f>4.77%</f>
        <v>0.04769999999999999</v>
      </c>
      <c r="C7" s="64">
        <f>1233435.15</f>
        <v>1233435.15</v>
      </c>
      <c r="D7" s="64">
        <f>1677181.28</f>
        <v>1677181.28</v>
      </c>
      <c r="E7" s="64">
        <f>3522.19</f>
        <v>3522.19</v>
      </c>
      <c r="F7" s="64">
        <f>-1932783.19</f>
        <v>-1932783.19</v>
      </c>
      <c r="G7" s="65">
        <f t="shared" si="0"/>
        <v>981355.4299999997</v>
      </c>
      <c r="H7" s="65">
        <f t="shared" si="1"/>
        <v>981355.4299999997</v>
      </c>
      <c r="I7" s="66"/>
      <c r="J7" s="65">
        <f>H7</f>
        <v>981355.4299999997</v>
      </c>
      <c r="K7" s="65">
        <v>0</v>
      </c>
      <c r="L7" s="25">
        <f t="shared" si="2"/>
        <v>0</v>
      </c>
      <c r="M7" s="13" t="s">
        <v>61</v>
      </c>
    </row>
    <row r="8" spans="1:13" s="13" customFormat="1" ht="15" customHeight="1">
      <c r="A8" s="13" t="s">
        <v>25</v>
      </c>
      <c r="B8" s="14">
        <f>4.77%</f>
        <v>0.04769999999999999</v>
      </c>
      <c r="C8" s="64">
        <f>30157.08</f>
        <v>30157.08</v>
      </c>
      <c r="D8" s="64">
        <f>2628697.04</f>
        <v>2628697.04</v>
      </c>
      <c r="E8" s="64">
        <f>444.16</f>
        <v>444.16</v>
      </c>
      <c r="F8" s="64">
        <f>-2628854.12</f>
        <v>-2628854.12</v>
      </c>
      <c r="G8" s="65">
        <f t="shared" si="0"/>
        <v>30444.16000000015</v>
      </c>
      <c r="H8" s="65">
        <f t="shared" si="1"/>
        <v>30444.16000000015</v>
      </c>
      <c r="I8" s="66"/>
      <c r="J8" s="65">
        <f>H8</f>
        <v>30444.16000000015</v>
      </c>
      <c r="K8" s="65">
        <v>0</v>
      </c>
      <c r="L8" s="25">
        <f t="shared" si="2"/>
        <v>0</v>
      </c>
      <c r="M8" s="13" t="s">
        <v>61</v>
      </c>
    </row>
    <row r="9" spans="1:13" s="13" customFormat="1" ht="15" customHeight="1">
      <c r="A9" s="13" t="s">
        <v>57</v>
      </c>
      <c r="B9" s="14">
        <f>4.77%</f>
        <v>0.04769999999999999</v>
      </c>
      <c r="C9" s="64">
        <f>1627275.42</f>
        <v>1627275.42</v>
      </c>
      <c r="D9" s="64">
        <v>0</v>
      </c>
      <c r="E9" s="64">
        <f>5829.66</f>
        <v>5829.66</v>
      </c>
      <c r="F9" s="64">
        <v>0</v>
      </c>
      <c r="G9" s="65">
        <f t="shared" si="0"/>
        <v>1633105.0799999998</v>
      </c>
      <c r="H9" s="65">
        <f t="shared" si="1"/>
        <v>1633105.0799999998</v>
      </c>
      <c r="I9" s="66"/>
      <c r="J9" s="65">
        <v>0</v>
      </c>
      <c r="K9" s="65">
        <f>+H9</f>
        <v>1633105.0799999998</v>
      </c>
      <c r="L9" s="25">
        <f t="shared" si="2"/>
        <v>0</v>
      </c>
      <c r="M9" s="13" t="s">
        <v>61</v>
      </c>
    </row>
    <row r="10" spans="1:13" s="13" customFormat="1" ht="15" customHeight="1">
      <c r="A10" s="13" t="s">
        <v>42</v>
      </c>
      <c r="B10" s="14">
        <v>0</v>
      </c>
      <c r="C10" s="64">
        <f>3416.91</f>
        <v>3416.91</v>
      </c>
      <c r="D10" s="64">
        <v>3000</v>
      </c>
      <c r="E10" s="64">
        <v>0</v>
      </c>
      <c r="F10" s="64">
        <f>-3531</f>
        <v>-3531</v>
      </c>
      <c r="G10" s="65">
        <f t="shared" si="0"/>
        <v>2885.91</v>
      </c>
      <c r="H10" s="65">
        <f t="shared" si="1"/>
        <v>2885.91</v>
      </c>
      <c r="I10" s="66"/>
      <c r="J10" s="65">
        <f aca="true" t="shared" si="3" ref="J10:J15">H10</f>
        <v>2885.91</v>
      </c>
      <c r="K10" s="65">
        <v>0</v>
      </c>
      <c r="L10" s="25">
        <f t="shared" si="2"/>
        <v>0</v>
      </c>
      <c r="M10" s="13" t="s">
        <v>61</v>
      </c>
    </row>
    <row r="11" spans="1:13" s="13" customFormat="1" ht="13.5" customHeight="1">
      <c r="A11" s="13" t="s">
        <v>17</v>
      </c>
      <c r="B11" s="14">
        <v>0</v>
      </c>
      <c r="C11" s="64">
        <f>25000</f>
        <v>25000</v>
      </c>
      <c r="D11" s="64">
        <f>416121.1</f>
        <v>416121.1</v>
      </c>
      <c r="E11" s="64">
        <v>0</v>
      </c>
      <c r="F11" s="64">
        <f>-416121.1</f>
        <v>-416121.1</v>
      </c>
      <c r="G11" s="65">
        <f t="shared" si="0"/>
        <v>25000</v>
      </c>
      <c r="H11" s="65">
        <f t="shared" si="1"/>
        <v>25000</v>
      </c>
      <c r="I11" s="66"/>
      <c r="J11" s="65">
        <f t="shared" si="3"/>
        <v>25000</v>
      </c>
      <c r="K11" s="65">
        <v>0</v>
      </c>
      <c r="L11" s="25">
        <f t="shared" si="2"/>
        <v>0</v>
      </c>
      <c r="M11" s="13" t="s">
        <v>61</v>
      </c>
    </row>
    <row r="12" spans="1:13" s="13" customFormat="1" ht="15" customHeight="1">
      <c r="A12" s="13" t="s">
        <v>5</v>
      </c>
      <c r="B12" s="14">
        <v>0</v>
      </c>
      <c r="C12" s="64">
        <f>51301.36</f>
        <v>51301.36</v>
      </c>
      <c r="D12" s="64">
        <f>464437.02</f>
        <v>464437.02</v>
      </c>
      <c r="E12" s="64">
        <v>0</v>
      </c>
      <c r="F12" s="64">
        <f>-353312.8</f>
        <v>-353312.8</v>
      </c>
      <c r="G12" s="65">
        <f t="shared" si="0"/>
        <v>162425.58000000002</v>
      </c>
      <c r="H12" s="65">
        <f t="shared" si="1"/>
        <v>162425.58000000002</v>
      </c>
      <c r="I12" s="66"/>
      <c r="J12" s="65">
        <f t="shared" si="3"/>
        <v>162425.58000000002</v>
      </c>
      <c r="K12" s="65">
        <v>0</v>
      </c>
      <c r="L12" s="25">
        <f t="shared" si="2"/>
        <v>0</v>
      </c>
      <c r="M12" s="13" t="s">
        <v>61</v>
      </c>
    </row>
    <row r="13" spans="1:13" s="13" customFormat="1" ht="15" customHeight="1">
      <c r="A13" s="13" t="s">
        <v>6</v>
      </c>
      <c r="B13" s="14">
        <v>0</v>
      </c>
      <c r="C13" s="64">
        <f>4101.51</f>
        <v>4101.51</v>
      </c>
      <c r="D13" s="64">
        <v>0</v>
      </c>
      <c r="E13" s="64">
        <v>0</v>
      </c>
      <c r="F13" s="64">
        <f>-650</f>
        <v>-650</v>
      </c>
      <c r="G13" s="65">
        <f t="shared" si="0"/>
        <v>3451.51</v>
      </c>
      <c r="H13" s="65">
        <f t="shared" si="1"/>
        <v>3451.51</v>
      </c>
      <c r="I13" s="66"/>
      <c r="J13" s="65">
        <f t="shared" si="3"/>
        <v>3451.51</v>
      </c>
      <c r="K13" s="65">
        <v>0</v>
      </c>
      <c r="L13" s="25">
        <f t="shared" si="2"/>
        <v>0</v>
      </c>
      <c r="M13" s="13" t="s">
        <v>61</v>
      </c>
    </row>
    <row r="14" spans="1:13" s="13" customFormat="1" ht="15" customHeight="1">
      <c r="A14" s="13" t="s">
        <v>4</v>
      </c>
      <c r="B14" s="14">
        <v>0</v>
      </c>
      <c r="C14" s="67">
        <f>34109.7</f>
        <v>34109.7</v>
      </c>
      <c r="D14" s="67">
        <f>17167.42</f>
        <v>17167.42</v>
      </c>
      <c r="E14" s="67">
        <v>0</v>
      </c>
      <c r="F14" s="67">
        <f>-8.21</f>
        <v>-8.21</v>
      </c>
      <c r="G14" s="66">
        <f t="shared" si="0"/>
        <v>51268.909999999996</v>
      </c>
      <c r="H14" s="66">
        <f t="shared" si="1"/>
        <v>51268.909999999996</v>
      </c>
      <c r="I14" s="66"/>
      <c r="J14" s="66">
        <f t="shared" si="3"/>
        <v>51268.909999999996</v>
      </c>
      <c r="K14" s="66">
        <v>0</v>
      </c>
      <c r="L14" s="25">
        <f t="shared" si="2"/>
        <v>0</v>
      </c>
      <c r="M14" s="24" t="s">
        <v>61</v>
      </c>
    </row>
    <row r="15" spans="1:15" s="13" customFormat="1" ht="15" customHeight="1">
      <c r="A15" s="13" t="s">
        <v>55</v>
      </c>
      <c r="B15" s="14">
        <v>0</v>
      </c>
      <c r="C15" s="67">
        <f>13700.37</f>
        <v>13700.37</v>
      </c>
      <c r="D15" s="67">
        <f>4109.05+159.75</f>
        <v>4268.8</v>
      </c>
      <c r="E15" s="67">
        <v>0</v>
      </c>
      <c r="F15" s="67">
        <v>0</v>
      </c>
      <c r="G15" s="66">
        <f t="shared" si="0"/>
        <v>17969.170000000002</v>
      </c>
      <c r="H15" s="68">
        <f>+G15</f>
        <v>17969.170000000002</v>
      </c>
      <c r="I15" s="66"/>
      <c r="J15" s="68">
        <f t="shared" si="3"/>
        <v>17969.170000000002</v>
      </c>
      <c r="K15" s="68">
        <v>0</v>
      </c>
      <c r="L15" s="25">
        <f t="shared" si="2"/>
        <v>0</v>
      </c>
      <c r="M15" s="13" t="s">
        <v>61</v>
      </c>
      <c r="O15" s="42"/>
    </row>
    <row r="16" spans="1:11" s="2" customFormat="1" ht="15" customHeight="1">
      <c r="A16" s="2" t="s">
        <v>12</v>
      </c>
      <c r="B16" s="14"/>
      <c r="C16" s="69">
        <f aca="true" t="shared" si="4" ref="C16:H16">SUM(C5:C15)</f>
        <v>5462027.98</v>
      </c>
      <c r="D16" s="69">
        <f t="shared" si="4"/>
        <v>10833609.8</v>
      </c>
      <c r="E16" s="69">
        <f t="shared" si="4"/>
        <v>19986.059999999998</v>
      </c>
      <c r="F16" s="69">
        <f t="shared" si="4"/>
        <v>-9721823.19</v>
      </c>
      <c r="G16" s="69">
        <f t="shared" si="4"/>
        <v>6593800.65</v>
      </c>
      <c r="H16" s="69">
        <f t="shared" si="4"/>
        <v>6593800.65</v>
      </c>
      <c r="I16" s="66"/>
      <c r="J16" s="68">
        <f>SUM(J5:J15)</f>
        <v>4960695.57</v>
      </c>
      <c r="K16" s="68">
        <f>SUM(K5:K15)</f>
        <v>1633105.0799999998</v>
      </c>
    </row>
    <row r="17" spans="2:11" s="2" customFormat="1" ht="15" customHeight="1">
      <c r="B17" s="14"/>
      <c r="C17" s="67"/>
      <c r="D17" s="67"/>
      <c r="E17" s="67"/>
      <c r="F17" s="67"/>
      <c r="G17" s="66"/>
      <c r="H17" s="66"/>
      <c r="I17" s="66"/>
      <c r="J17" s="66"/>
      <c r="K17" s="66"/>
    </row>
    <row r="18" spans="1:14" ht="15" customHeight="1">
      <c r="A18" s="13" t="s">
        <v>32</v>
      </c>
      <c r="B18" s="22">
        <v>0.047397</v>
      </c>
      <c r="C18" s="64">
        <f>325156.82</f>
        <v>325156.82</v>
      </c>
      <c r="D18" s="64">
        <v>0</v>
      </c>
      <c r="E18" s="64">
        <f>1266.69</f>
        <v>1266.69</v>
      </c>
      <c r="F18" s="64">
        <v>0</v>
      </c>
      <c r="G18" s="65">
        <f aca="true" t="shared" si="5" ref="G18:G23">SUM(C18:F18)</f>
        <v>326423.51</v>
      </c>
      <c r="H18" s="65">
        <f aca="true" t="shared" si="6" ref="H18:H23">G18</f>
        <v>326423.51</v>
      </c>
      <c r="I18" s="66"/>
      <c r="J18" s="65">
        <v>0</v>
      </c>
      <c r="K18" s="65">
        <f>H18</f>
        <v>326423.51</v>
      </c>
      <c r="L18" s="2" t="s">
        <v>36</v>
      </c>
      <c r="M18" s="2" t="s">
        <v>61</v>
      </c>
      <c r="N18" s="2"/>
    </row>
    <row r="19" spans="1:14" ht="15" customHeight="1">
      <c r="A19" s="13" t="s">
        <v>33</v>
      </c>
      <c r="B19" s="22">
        <v>0.047397</v>
      </c>
      <c r="C19" s="64">
        <f>2865096.03</f>
        <v>2865096.03</v>
      </c>
      <c r="D19" s="64">
        <v>0</v>
      </c>
      <c r="E19" s="64">
        <f>7422.73</f>
        <v>7422.73</v>
      </c>
      <c r="F19" s="64">
        <f>-2400000</f>
        <v>-2400000</v>
      </c>
      <c r="G19" s="65">
        <f t="shared" si="5"/>
        <v>472518.7599999998</v>
      </c>
      <c r="H19" s="65">
        <f t="shared" si="6"/>
        <v>472518.7599999998</v>
      </c>
      <c r="I19" s="66"/>
      <c r="J19" s="65">
        <f>H19-K19</f>
        <v>440454.7599999998</v>
      </c>
      <c r="K19" s="65">
        <v>32064</v>
      </c>
      <c r="L19" s="2" t="s">
        <v>65</v>
      </c>
      <c r="M19" s="2" t="s">
        <v>61</v>
      </c>
      <c r="N19" s="2"/>
    </row>
    <row r="20" spans="1:11" s="2" customFormat="1" ht="15" customHeight="1" hidden="1">
      <c r="A20" s="13" t="s">
        <v>34</v>
      </c>
      <c r="B20" s="22"/>
      <c r="C20" s="64">
        <v>0</v>
      </c>
      <c r="D20" s="64"/>
      <c r="E20" s="64"/>
      <c r="F20" s="64">
        <v>0</v>
      </c>
      <c r="G20" s="65">
        <f t="shared" si="5"/>
        <v>0</v>
      </c>
      <c r="H20" s="65">
        <f t="shared" si="6"/>
        <v>0</v>
      </c>
      <c r="I20" s="66"/>
      <c r="J20" s="65">
        <v>0</v>
      </c>
      <c r="K20" s="65">
        <f>H20</f>
        <v>0</v>
      </c>
    </row>
    <row r="21" spans="1:13" s="2" customFormat="1" ht="15" customHeight="1">
      <c r="A21" s="13" t="s">
        <v>20</v>
      </c>
      <c r="B21" s="22">
        <v>0.0468</v>
      </c>
      <c r="C21" s="64">
        <f>885986.45</f>
        <v>885986.45</v>
      </c>
      <c r="D21" s="64">
        <v>0</v>
      </c>
      <c r="E21" s="64">
        <f>3406.79</f>
        <v>3406.79</v>
      </c>
      <c r="F21" s="64">
        <v>0</v>
      </c>
      <c r="G21" s="65">
        <f t="shared" si="5"/>
        <v>889393.24</v>
      </c>
      <c r="H21" s="65">
        <f t="shared" si="6"/>
        <v>889393.24</v>
      </c>
      <c r="I21" s="66"/>
      <c r="J21" s="65">
        <f>H21-K21</f>
        <v>889393.24</v>
      </c>
      <c r="K21" s="65">
        <v>0</v>
      </c>
      <c r="M21" s="2" t="s">
        <v>61</v>
      </c>
    </row>
    <row r="22" spans="1:13" s="2" customFormat="1" ht="15" customHeight="1">
      <c r="A22" s="13" t="s">
        <v>21</v>
      </c>
      <c r="B22" s="22">
        <v>0.0468</v>
      </c>
      <c r="C22" s="64">
        <f>4647930.59</f>
        <v>4647930.59</v>
      </c>
      <c r="D22" s="64">
        <v>0</v>
      </c>
      <c r="E22" s="64">
        <f>17872.18</f>
        <v>17872.18</v>
      </c>
      <c r="F22" s="64">
        <v>0</v>
      </c>
      <c r="G22" s="65">
        <f t="shared" si="5"/>
        <v>4665802.77</v>
      </c>
      <c r="H22" s="65">
        <f t="shared" si="6"/>
        <v>4665802.77</v>
      </c>
      <c r="I22" s="66"/>
      <c r="J22" s="65">
        <f>H22-K22</f>
        <v>0</v>
      </c>
      <c r="K22" s="65">
        <f>+G22</f>
        <v>4665802.77</v>
      </c>
      <c r="L22" s="2" t="s">
        <v>69</v>
      </c>
      <c r="M22" s="2" t="s">
        <v>61</v>
      </c>
    </row>
    <row r="23" spans="1:13" s="2" customFormat="1" ht="15" customHeight="1">
      <c r="A23" s="13" t="s">
        <v>56</v>
      </c>
      <c r="B23" s="22">
        <f>0.047679</f>
        <v>0.047679</v>
      </c>
      <c r="C23" s="70">
        <f>2095623.39</f>
        <v>2095623.39</v>
      </c>
      <c r="D23" s="70">
        <v>0</v>
      </c>
      <c r="E23" s="70">
        <f>8212.43</f>
        <v>8212.43</v>
      </c>
      <c r="F23" s="70">
        <v>0</v>
      </c>
      <c r="G23" s="68">
        <f t="shared" si="5"/>
        <v>2103835.82</v>
      </c>
      <c r="H23" s="68">
        <f t="shared" si="6"/>
        <v>2103835.82</v>
      </c>
      <c r="I23" s="66"/>
      <c r="J23" s="68">
        <f>H23-K23</f>
        <v>2045387.0599999998</v>
      </c>
      <c r="K23" s="68">
        <f>58448.76</f>
        <v>58448.76</v>
      </c>
      <c r="L23" s="2" t="s">
        <v>37</v>
      </c>
      <c r="M23" s="2" t="s">
        <v>61</v>
      </c>
    </row>
    <row r="24" spans="1:11" s="2" customFormat="1" ht="15" customHeight="1">
      <c r="A24" s="13" t="s">
        <v>13</v>
      </c>
      <c r="B24" s="14"/>
      <c r="C24" s="70">
        <f aca="true" t="shared" si="7" ref="C24:H24">SUM(C18:C23)</f>
        <v>10819793.280000001</v>
      </c>
      <c r="D24" s="70">
        <f t="shared" si="7"/>
        <v>0</v>
      </c>
      <c r="E24" s="70">
        <f t="shared" si="7"/>
        <v>38180.82</v>
      </c>
      <c r="F24" s="70">
        <f t="shared" si="7"/>
        <v>-2400000</v>
      </c>
      <c r="G24" s="68">
        <f t="shared" si="7"/>
        <v>8457974.1</v>
      </c>
      <c r="H24" s="68">
        <f t="shared" si="7"/>
        <v>8457974.1</v>
      </c>
      <c r="I24" s="66"/>
      <c r="J24" s="68">
        <f>SUM(J18:J23)</f>
        <v>3375235.0599999996</v>
      </c>
      <c r="K24" s="68">
        <f>SUM(K18:K23)</f>
        <v>5082739.039999999</v>
      </c>
    </row>
    <row r="25" spans="1:11" s="2" customFormat="1" ht="15" customHeight="1">
      <c r="A25" s="5" t="s">
        <v>15</v>
      </c>
      <c r="B25" s="23"/>
      <c r="C25" s="67"/>
      <c r="D25" s="67"/>
      <c r="E25" s="67"/>
      <c r="F25" s="67"/>
      <c r="G25" s="66"/>
      <c r="H25" s="66"/>
      <c r="I25" s="66"/>
      <c r="J25" s="66"/>
      <c r="K25" s="66"/>
    </row>
    <row r="26" spans="1:15" s="2" customFormat="1" ht="15" customHeight="1">
      <c r="A26" s="13" t="s">
        <v>43</v>
      </c>
      <c r="B26" s="14">
        <v>0.0416</v>
      </c>
      <c r="C26" s="67">
        <f>2043448.89</f>
        <v>2043448.89</v>
      </c>
      <c r="D26" s="67">
        <v>0</v>
      </c>
      <c r="E26" s="67">
        <v>6933.33</v>
      </c>
      <c r="F26" s="67">
        <f>-41600</f>
        <v>-41600</v>
      </c>
      <c r="G26" s="66">
        <f aca="true" t="shared" si="8" ref="G26:G33">SUM(C26:F26)</f>
        <v>2008782.22</v>
      </c>
      <c r="H26" s="66">
        <f>1934380+8782.22</f>
        <v>1943162.22</v>
      </c>
      <c r="I26" s="66"/>
      <c r="J26" s="66">
        <v>0</v>
      </c>
      <c r="K26" s="66">
        <f aca="true" t="shared" si="9" ref="K26:K33">G26</f>
        <v>2008782.22</v>
      </c>
      <c r="L26" s="2" t="s">
        <v>38</v>
      </c>
      <c r="M26" s="2" t="s">
        <v>61</v>
      </c>
      <c r="N26" s="79">
        <f aca="true" t="shared" si="10" ref="N26:N31">+G26-H26</f>
        <v>65620</v>
      </c>
      <c r="O26" s="2" t="s">
        <v>61</v>
      </c>
    </row>
    <row r="27" spans="1:15" s="2" customFormat="1" ht="15" customHeight="1">
      <c r="A27" s="13" t="s">
        <v>45</v>
      </c>
      <c r="B27" s="14">
        <v>0.0341</v>
      </c>
      <c r="C27" s="67">
        <f>486820</f>
        <v>486820</v>
      </c>
      <c r="D27" s="67">
        <v>0</v>
      </c>
      <c r="E27" s="67">
        <f>1364</f>
        <v>1364</v>
      </c>
      <c r="F27" s="67">
        <v>0</v>
      </c>
      <c r="G27" s="66">
        <f t="shared" si="8"/>
        <v>488184</v>
      </c>
      <c r="H27" s="66">
        <f>467851.2+8184</f>
        <v>476035.2</v>
      </c>
      <c r="I27" s="66"/>
      <c r="J27" s="66">
        <v>0</v>
      </c>
      <c r="K27" s="66">
        <f t="shared" si="9"/>
        <v>488184</v>
      </c>
      <c r="L27" s="2" t="s">
        <v>39</v>
      </c>
      <c r="M27" s="2" t="s">
        <v>61</v>
      </c>
      <c r="N27" s="79">
        <f t="shared" si="10"/>
        <v>12148.799999999988</v>
      </c>
      <c r="O27" s="2" t="s">
        <v>61</v>
      </c>
    </row>
    <row r="28" spans="1:15" s="2" customFormat="1" ht="15" customHeight="1">
      <c r="A28" s="13" t="s">
        <v>44</v>
      </c>
      <c r="B28" s="14">
        <v>0.03</v>
      </c>
      <c r="C28" s="67">
        <f>1013500</f>
        <v>1013500</v>
      </c>
      <c r="D28" s="67">
        <v>0</v>
      </c>
      <c r="E28" s="67">
        <f>2500</f>
        <v>2500</v>
      </c>
      <c r="F28" s="67">
        <v>0</v>
      </c>
      <c r="G28" s="66">
        <f t="shared" si="8"/>
        <v>1016000</v>
      </c>
      <c r="H28" s="66">
        <f>981560+1000+15000</f>
        <v>997560</v>
      </c>
      <c r="I28" s="66"/>
      <c r="J28" s="66">
        <v>0</v>
      </c>
      <c r="K28" s="66">
        <f t="shared" si="9"/>
        <v>1016000</v>
      </c>
      <c r="L28" s="2" t="s">
        <v>41</v>
      </c>
      <c r="M28" s="2" t="s">
        <v>61</v>
      </c>
      <c r="N28" s="79">
        <f t="shared" si="10"/>
        <v>18440</v>
      </c>
      <c r="O28" s="2" t="s">
        <v>61</v>
      </c>
    </row>
    <row r="29" spans="1:15" s="2" customFormat="1" ht="15" customHeight="1">
      <c r="A29" s="13" t="s">
        <v>48</v>
      </c>
      <c r="B29" s="14">
        <v>0.0355</v>
      </c>
      <c r="C29" s="67">
        <f>527384</f>
        <v>527384</v>
      </c>
      <c r="D29" s="67">
        <v>0</v>
      </c>
      <c r="E29" s="67">
        <v>1538.33</v>
      </c>
      <c r="F29" s="67">
        <v>0</v>
      </c>
      <c r="G29" s="66">
        <f t="shared" si="8"/>
        <v>528922.33</v>
      </c>
      <c r="H29" s="66">
        <f>507811.2+8922.33</f>
        <v>516733.53</v>
      </c>
      <c r="I29" s="66"/>
      <c r="J29" s="66">
        <v>0</v>
      </c>
      <c r="K29" s="66">
        <f t="shared" si="9"/>
        <v>528922.33</v>
      </c>
      <c r="L29" s="2" t="s">
        <v>46</v>
      </c>
      <c r="M29" s="2" t="s">
        <v>61</v>
      </c>
      <c r="N29" s="79">
        <f t="shared" si="10"/>
        <v>12188.79999999993</v>
      </c>
      <c r="O29" s="2" t="s">
        <v>61</v>
      </c>
    </row>
    <row r="30" spans="1:15" s="2" customFormat="1" ht="15" customHeight="1">
      <c r="A30" s="13" t="s">
        <v>49</v>
      </c>
      <c r="B30" s="14">
        <v>0.0357</v>
      </c>
      <c r="C30" s="67">
        <f>1013585.83</f>
        <v>1013585.83</v>
      </c>
      <c r="D30" s="67">
        <v>0</v>
      </c>
      <c r="E30" s="67">
        <f>2975</f>
        <v>2975</v>
      </c>
      <c r="F30" s="67">
        <v>0</v>
      </c>
      <c r="G30" s="66">
        <f t="shared" si="8"/>
        <v>1016560.83</v>
      </c>
      <c r="H30" s="66">
        <f>973130+16560.83</f>
        <v>989690.83</v>
      </c>
      <c r="I30" s="66"/>
      <c r="J30" s="66">
        <v>0</v>
      </c>
      <c r="K30" s="66">
        <f t="shared" si="9"/>
        <v>1016560.83</v>
      </c>
      <c r="L30" s="2" t="s">
        <v>47</v>
      </c>
      <c r="M30" s="2" t="s">
        <v>61</v>
      </c>
      <c r="N30" s="79">
        <f t="shared" si="10"/>
        <v>26870</v>
      </c>
      <c r="O30" s="2" t="s">
        <v>61</v>
      </c>
    </row>
    <row r="31" spans="1:15" s="2" customFormat="1" ht="15" customHeight="1">
      <c r="A31" s="13" t="s">
        <v>50</v>
      </c>
      <c r="B31" s="14">
        <v>0.04</v>
      </c>
      <c r="C31" s="67">
        <f>20000</f>
        <v>20000</v>
      </c>
      <c r="D31" s="67">
        <v>0</v>
      </c>
      <c r="E31" s="67">
        <v>0</v>
      </c>
      <c r="F31" s="67">
        <f>-20000</f>
        <v>-20000</v>
      </c>
      <c r="G31" s="66">
        <f t="shared" si="8"/>
        <v>0</v>
      </c>
      <c r="H31" s="66">
        <v>0</v>
      </c>
      <c r="I31" s="66"/>
      <c r="J31" s="66">
        <v>0</v>
      </c>
      <c r="K31" s="66">
        <f t="shared" si="9"/>
        <v>0</v>
      </c>
      <c r="L31" s="2" t="s">
        <v>51</v>
      </c>
      <c r="M31" s="2" t="s">
        <v>61</v>
      </c>
      <c r="N31" s="79">
        <f t="shared" si="10"/>
        <v>0</v>
      </c>
      <c r="O31" s="2" t="s">
        <v>61</v>
      </c>
    </row>
    <row r="32" spans="1:15" s="2" customFormat="1" ht="15" customHeight="1">
      <c r="A32" s="13" t="s">
        <v>82</v>
      </c>
      <c r="B32" s="14">
        <f>5.125%</f>
        <v>0.05125</v>
      </c>
      <c r="C32" s="67">
        <f>1000000</f>
        <v>1000000</v>
      </c>
      <c r="D32" s="67">
        <v>0</v>
      </c>
      <c r="E32" s="67">
        <f>4270.83</f>
        <v>4270.83</v>
      </c>
      <c r="F32" s="67">
        <v>0</v>
      </c>
      <c r="G32" s="66">
        <f t="shared" si="8"/>
        <v>1004270.83</v>
      </c>
      <c r="H32" s="66">
        <f>997480+4270.83</f>
        <v>1001750.83</v>
      </c>
      <c r="I32" s="66"/>
      <c r="J32" s="66">
        <v>0</v>
      </c>
      <c r="K32" s="66">
        <f t="shared" si="9"/>
        <v>1004270.83</v>
      </c>
      <c r="L32" s="2" t="s">
        <v>83</v>
      </c>
      <c r="M32" s="2" t="s">
        <v>61</v>
      </c>
      <c r="N32" s="79"/>
      <c r="O32" s="2" t="s">
        <v>61</v>
      </c>
    </row>
    <row r="33" spans="1:15" s="2" customFormat="1" ht="15" customHeight="1">
      <c r="A33" s="13" t="s">
        <v>52</v>
      </c>
      <c r="B33" s="14">
        <v>0.0261</v>
      </c>
      <c r="C33" s="70">
        <f>2999.92</f>
        <v>2999.92</v>
      </c>
      <c r="D33" s="70">
        <v>0</v>
      </c>
      <c r="E33" s="70">
        <v>6.14</v>
      </c>
      <c r="F33" s="70">
        <v>0</v>
      </c>
      <c r="G33" s="68">
        <f t="shared" si="8"/>
        <v>3006.06</v>
      </c>
      <c r="H33" s="68">
        <f>+G33</f>
        <v>3006.06</v>
      </c>
      <c r="I33" s="66"/>
      <c r="J33" s="68">
        <v>0</v>
      </c>
      <c r="K33" s="68">
        <f t="shared" si="9"/>
        <v>3006.06</v>
      </c>
      <c r="L33" s="2" t="s">
        <v>53</v>
      </c>
      <c r="M33" s="2" t="s">
        <v>61</v>
      </c>
      <c r="O33" s="2" t="s">
        <v>61</v>
      </c>
    </row>
    <row r="34" spans="1:15" ht="15" customHeight="1">
      <c r="A34" s="2" t="s">
        <v>3</v>
      </c>
      <c r="B34" s="10" t="s">
        <v>1</v>
      </c>
      <c r="C34" s="71">
        <f aca="true" t="shared" si="11" ref="C34:H34">SUM(C26:C33)</f>
        <v>6107738.64</v>
      </c>
      <c r="D34" s="71">
        <f t="shared" si="11"/>
        <v>0</v>
      </c>
      <c r="E34" s="71">
        <f t="shared" si="11"/>
        <v>19587.629999999997</v>
      </c>
      <c r="F34" s="71">
        <f t="shared" si="11"/>
        <v>-61600</v>
      </c>
      <c r="G34" s="72">
        <f t="shared" si="11"/>
        <v>6065726.27</v>
      </c>
      <c r="H34" s="72">
        <f t="shared" si="11"/>
        <v>5927938.67</v>
      </c>
      <c r="I34" s="73"/>
      <c r="J34" s="72">
        <f>SUM(J26:J26)</f>
        <v>0</v>
      </c>
      <c r="K34" s="72">
        <f>SUM(K26:K33)</f>
        <v>6065726.27</v>
      </c>
      <c r="L34" s="2"/>
      <c r="M34" s="2"/>
      <c r="N34" s="15"/>
      <c r="O34" s="2"/>
    </row>
    <row r="35" spans="1:12" ht="15" customHeight="1">
      <c r="A35" s="2"/>
      <c r="B35" s="2"/>
      <c r="C35" s="74"/>
      <c r="D35" s="74"/>
      <c r="E35" s="74"/>
      <c r="F35" s="74"/>
      <c r="G35" s="75"/>
      <c r="H35" s="75"/>
      <c r="I35" s="73"/>
      <c r="J35" s="75"/>
      <c r="K35" s="76"/>
      <c r="L35" s="17"/>
    </row>
    <row r="36" spans="1:13" ht="15" customHeight="1" thickBot="1">
      <c r="A36" s="8" t="s">
        <v>16</v>
      </c>
      <c r="B36" s="8"/>
      <c r="C36" s="77">
        <f aca="true" t="shared" si="12" ref="C36:H36">SUM(C34,C24,C16)</f>
        <v>22389559.900000002</v>
      </c>
      <c r="D36" s="77">
        <f t="shared" si="12"/>
        <v>10833609.8</v>
      </c>
      <c r="E36" s="77">
        <f t="shared" si="12"/>
        <v>77754.51</v>
      </c>
      <c r="F36" s="77">
        <f t="shared" si="12"/>
        <v>-12183423.19</v>
      </c>
      <c r="G36" s="78">
        <f t="shared" si="12"/>
        <v>21117501.02</v>
      </c>
      <c r="H36" s="78">
        <f t="shared" si="12"/>
        <v>20979713.42</v>
      </c>
      <c r="I36" s="73"/>
      <c r="J36" s="78">
        <f>SUM(J34,J24,J16)</f>
        <v>8335930.63</v>
      </c>
      <c r="K36" s="78">
        <f>SUM(K34,K24,K16)</f>
        <v>12781570.389999999</v>
      </c>
      <c r="M36" s="17"/>
    </row>
    <row r="37" spans="1:11" ht="15" customHeight="1" thickTop="1">
      <c r="A37" s="5"/>
      <c r="B37" s="5"/>
      <c r="C37" s="31"/>
      <c r="D37" s="31"/>
      <c r="E37" s="31"/>
      <c r="F37" s="26"/>
      <c r="G37" s="31"/>
      <c r="H37" s="31"/>
      <c r="I37" s="37"/>
      <c r="J37" s="31"/>
      <c r="K37" s="31"/>
    </row>
    <row r="38" spans="1:11" ht="15" customHeight="1">
      <c r="A38" s="12" t="s">
        <v>31</v>
      </c>
      <c r="C38" s="40" t="s">
        <v>84</v>
      </c>
      <c r="D38" s="40" t="s">
        <v>79</v>
      </c>
      <c r="E38" s="40" t="s">
        <v>85</v>
      </c>
      <c r="F38" s="31"/>
      <c r="G38" s="31"/>
      <c r="H38" s="31" t="s">
        <v>88</v>
      </c>
      <c r="I38" s="37"/>
      <c r="J38" s="31"/>
      <c r="K38" s="31"/>
    </row>
    <row r="39" spans="1:11" ht="15" customHeight="1">
      <c r="A39" s="2" t="s">
        <v>30</v>
      </c>
      <c r="B39" s="2"/>
      <c r="C39" s="18">
        <f>0.0478</f>
        <v>0.0478</v>
      </c>
      <c r="D39" s="18">
        <v>0.046</v>
      </c>
      <c r="E39" s="18">
        <v>0.03085</v>
      </c>
      <c r="F39" s="32"/>
      <c r="G39" s="32"/>
      <c r="H39" s="32" t="s">
        <v>89</v>
      </c>
      <c r="I39" s="38"/>
      <c r="J39" s="32"/>
      <c r="K39" s="32">
        <f>-K19</f>
        <v>-32064</v>
      </c>
    </row>
    <row r="40" spans="6:11" ht="15" customHeight="1">
      <c r="F40" s="32"/>
      <c r="G40" s="32"/>
      <c r="H40" s="32" t="s">
        <v>90</v>
      </c>
      <c r="I40" s="38"/>
      <c r="J40" s="32"/>
      <c r="K40" s="80">
        <f>-K22</f>
        <v>-4665802.77</v>
      </c>
    </row>
    <row r="41" spans="1:11" ht="12.75">
      <c r="A41" s="2" t="s">
        <v>27</v>
      </c>
      <c r="K41" s="39"/>
    </row>
    <row r="42" ht="12.75">
      <c r="K42" s="39">
        <f>+K36+K39+K40</f>
        <v>8083703.619999999</v>
      </c>
    </row>
    <row r="43" spans="1:11" ht="12.75">
      <c r="A43" s="1" t="s">
        <v>26</v>
      </c>
      <c r="K43" s="39"/>
    </row>
    <row r="44" spans="8:11" ht="12.75">
      <c r="H44" s="33" t="s">
        <v>91</v>
      </c>
      <c r="K44" s="81">
        <v>8057651.970000001</v>
      </c>
    </row>
    <row r="45" spans="1:11" ht="12.75">
      <c r="A45" s="11"/>
      <c r="K45" s="39"/>
    </row>
    <row r="46" spans="1:11" ht="13.5" thickBot="1">
      <c r="A46" s="1" t="s">
        <v>28</v>
      </c>
      <c r="K46" s="82">
        <f>+K42-K44</f>
        <v>26051.64999999851</v>
      </c>
    </row>
    <row r="47" ht="13.5" thickTop="1"/>
    <row r="48" ht="12.75">
      <c r="A48" s="11"/>
    </row>
    <row r="49" ht="12.75">
      <c r="A49" s="1" t="s">
        <v>29</v>
      </c>
    </row>
    <row r="51" ht="9.75" customHeight="1"/>
    <row r="52" spans="1:2" ht="9.75" customHeight="1">
      <c r="A52" s="6" t="s">
        <v>1</v>
      </c>
      <c r="B52" s="6"/>
    </row>
    <row r="53" ht="9.75" customHeight="1"/>
  </sheetData>
  <printOptions/>
  <pageMargins left="0.5" right="0.25" top="0.66" bottom="0.5" header="0.17" footer="0.5"/>
  <pageSetup fitToHeight="1" fitToWidth="1" horizontalDpi="600" verticalDpi="600" orientation="landscape" scale="75" r:id="rId1"/>
  <headerFooter alignWithMargins="0">
    <oddHeader>&amp;C&amp;"Arial,Bold"BLINN COLLEGE
INVESTMENT REPORT BY FUND
APRIL 30,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Blinn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Baughman</dc:creator>
  <cp:keywords/>
  <dc:description/>
  <cp:lastModifiedBy>ruth.love</cp:lastModifiedBy>
  <cp:lastPrinted>2007-02-08T21:31:11Z</cp:lastPrinted>
  <dcterms:created xsi:type="dcterms:W3CDTF">1999-12-02T20:09:54Z</dcterms:created>
  <dcterms:modified xsi:type="dcterms:W3CDTF">2007-03-01T17:05:45Z</dcterms:modified>
  <cp:category/>
  <cp:version/>
  <cp:contentType/>
  <cp:contentStatus/>
</cp:coreProperties>
</file>